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60" windowWidth="13155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Sheet1!$A$1:$X$172</definedName>
  </definedNames>
  <calcPr calcId="145621"/>
</workbook>
</file>

<file path=xl/calcChain.xml><?xml version="1.0" encoding="utf-8"?>
<calcChain xmlns="http://schemas.openxmlformats.org/spreadsheetml/2006/main">
  <c r="V145" i="1" l="1"/>
  <c r="T147" i="1"/>
  <c r="R147" i="1"/>
  <c r="K69" i="1" l="1"/>
  <c r="X69" i="1" l="1"/>
  <c r="D133" i="1" l="1"/>
  <c r="D134" i="1" s="1"/>
  <c r="D135" i="1" s="1"/>
  <c r="D136" i="1" s="1"/>
  <c r="D137" i="1" s="1"/>
  <c r="D138" i="1" s="1"/>
  <c r="D139" i="1" s="1"/>
  <c r="D140" i="1" s="1"/>
  <c r="D141" i="1" s="1"/>
  <c r="D142" i="1" s="1"/>
  <c r="V144" i="1"/>
  <c r="V143" i="1" l="1"/>
  <c r="K85" i="1"/>
  <c r="K124" i="1" s="1"/>
  <c r="X101" i="1"/>
  <c r="V142" i="1"/>
  <c r="V137" i="1"/>
  <c r="V138" i="1"/>
  <c r="V139" i="1"/>
  <c r="V140" i="1"/>
  <c r="V141" i="1"/>
  <c r="K63" i="1"/>
  <c r="X63" i="1" s="1"/>
  <c r="X57" i="1"/>
  <c r="X28" i="1"/>
  <c r="K47" i="1"/>
  <c r="X47" i="1" s="1"/>
  <c r="X12" i="1"/>
  <c r="X13" i="1" s="1"/>
  <c r="X14" i="1" s="1"/>
  <c r="X15" i="1" s="1"/>
  <c r="K40" i="1"/>
  <c r="X41" i="1" s="1"/>
  <c r="K12" i="1"/>
  <c r="K13" i="1" s="1"/>
  <c r="X110" i="1"/>
  <c r="K115" i="1" s="1"/>
  <c r="K76" i="1"/>
  <c r="X77" i="1" s="1"/>
  <c r="X21" i="1"/>
  <c r="X24" i="1"/>
  <c r="X52" i="1"/>
  <c r="V126" i="1"/>
  <c r="V127" i="1"/>
  <c r="V128" i="1"/>
  <c r="V129" i="1"/>
  <c r="V130" i="1"/>
  <c r="V131" i="1"/>
  <c r="V132" i="1"/>
  <c r="V133" i="1"/>
  <c r="V134" i="1"/>
  <c r="V135" i="1"/>
  <c r="V136" i="1"/>
  <c r="D143" i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J3" i="2"/>
  <c r="J8" i="2" s="1"/>
  <c r="J2" i="2"/>
  <c r="K84" i="1"/>
  <c r="K123" i="1" s="1"/>
  <c r="V147" i="1" l="1"/>
  <c r="J4" i="2"/>
  <c r="X68" i="1"/>
  <c r="X71" i="1" s="1"/>
  <c r="K86" i="1"/>
  <c r="X85" i="1" s="1"/>
  <c r="K125" i="1"/>
  <c r="X56" i="1"/>
  <c r="X59" i="1" s="1"/>
  <c r="X23" i="1"/>
  <c r="X25" i="1" s="1"/>
  <c r="X33" i="1" s="1"/>
  <c r="X62" i="1"/>
  <c r="X65" i="1" s="1"/>
  <c r="X38" i="1"/>
  <c r="X74" i="1"/>
  <c r="X102" i="1"/>
  <c r="X106" i="1" s="1"/>
  <c r="X31" i="1"/>
  <c r="X51" i="1"/>
  <c r="X53" i="1" s="1"/>
  <c r="X32" i="1"/>
  <c r="X45" i="1"/>
  <c r="X46" i="1" s="1"/>
  <c r="X48" i="1" s="1"/>
  <c r="X30" i="1"/>
  <c r="X35" i="1" l="1"/>
  <c r="X39" i="1"/>
  <c r="X40" i="1" s="1"/>
  <c r="X42" i="1" s="1"/>
  <c r="X75" i="1"/>
  <c r="X76" i="1" s="1"/>
  <c r="X78" i="1" s="1"/>
  <c r="X80" i="1" l="1"/>
  <c r="X83" i="1" s="1"/>
  <c r="X87" i="1" s="1"/>
  <c r="E132" i="1" s="1"/>
  <c r="F132" i="1" l="1"/>
  <c r="G132" i="1"/>
  <c r="H132" i="1"/>
  <c r="I132" i="1" s="1"/>
  <c r="E133" i="1" s="1"/>
  <c r="K126" i="1"/>
  <c r="J6" i="2"/>
  <c r="J10" i="2" s="1"/>
  <c r="K114" i="1"/>
  <c r="K116" i="1" s="1"/>
  <c r="G133" i="1" l="1"/>
  <c r="H133" i="1"/>
  <c r="I133" i="1" s="1"/>
  <c r="E134" i="1" s="1"/>
  <c r="F133" i="1"/>
  <c r="G134" i="1" l="1"/>
  <c r="H134" i="1"/>
  <c r="I134" i="1" s="1"/>
  <c r="E135" i="1" s="1"/>
  <c r="F134" i="1"/>
  <c r="G135" i="1" l="1"/>
  <c r="F135" i="1"/>
  <c r="H135" i="1"/>
  <c r="I135" i="1" s="1"/>
  <c r="E136" i="1" s="1"/>
  <c r="G136" i="1" l="1"/>
  <c r="H136" i="1"/>
  <c r="I136" i="1" s="1"/>
  <c r="E137" i="1" s="1"/>
  <c r="F136" i="1"/>
  <c r="F137" i="1" l="1"/>
  <c r="G137" i="1"/>
  <c r="H137" i="1"/>
  <c r="I137" i="1" s="1"/>
  <c r="E138" i="1" s="1"/>
  <c r="F138" i="1" l="1"/>
  <c r="H138" i="1"/>
  <c r="I138" i="1" s="1"/>
  <c r="E139" i="1" s="1"/>
  <c r="G138" i="1"/>
  <c r="F139" i="1" l="1"/>
  <c r="H139" i="1"/>
  <c r="I139" i="1" s="1"/>
  <c r="E140" i="1" s="1"/>
  <c r="G139" i="1"/>
  <c r="F140" i="1" l="1"/>
  <c r="G140" i="1"/>
  <c r="H140" i="1"/>
  <c r="I140" i="1" s="1"/>
  <c r="E141" i="1" s="1"/>
  <c r="G141" i="1" l="1"/>
  <c r="H141" i="1"/>
  <c r="I141" i="1" s="1"/>
  <c r="E142" i="1" s="1"/>
  <c r="F141" i="1"/>
  <c r="F142" i="1" l="1"/>
  <c r="H142" i="1"/>
  <c r="I142" i="1" s="1"/>
  <c r="E143" i="1" s="1"/>
  <c r="G142" i="1"/>
  <c r="F143" i="1" l="1"/>
  <c r="G143" i="1"/>
  <c r="H143" i="1"/>
  <c r="I143" i="1" s="1"/>
  <c r="E144" i="1" s="1"/>
  <c r="G144" i="1" l="1"/>
  <c r="H144" i="1"/>
  <c r="I144" i="1" s="1"/>
  <c r="E145" i="1" s="1"/>
  <c r="F144" i="1"/>
  <c r="H145" i="1" l="1"/>
  <c r="I145" i="1" s="1"/>
  <c r="E146" i="1" s="1"/>
  <c r="G145" i="1"/>
  <c r="F145" i="1"/>
  <c r="G146" i="1" l="1"/>
  <c r="H146" i="1"/>
  <c r="I146" i="1" s="1"/>
  <c r="E147" i="1" s="1"/>
  <c r="F146" i="1"/>
  <c r="G147" i="1" l="1"/>
  <c r="H147" i="1"/>
  <c r="I147" i="1" s="1"/>
  <c r="E148" i="1" s="1"/>
  <c r="F147" i="1"/>
  <c r="F148" i="1" l="1"/>
  <c r="G148" i="1"/>
  <c r="H148" i="1"/>
  <c r="I148" i="1" s="1"/>
  <c r="E149" i="1" s="1"/>
  <c r="G149" i="1" l="1"/>
  <c r="H149" i="1"/>
  <c r="I149" i="1" s="1"/>
  <c r="E150" i="1" s="1"/>
  <c r="F149" i="1"/>
  <c r="H150" i="1" l="1"/>
  <c r="I150" i="1" s="1"/>
  <c r="E151" i="1" s="1"/>
  <c r="F150" i="1"/>
  <c r="G150" i="1"/>
  <c r="H151" i="1" l="1"/>
  <c r="I151" i="1" s="1"/>
  <c r="E152" i="1" s="1"/>
  <c r="G151" i="1"/>
  <c r="F151" i="1"/>
  <c r="H152" i="1" l="1"/>
  <c r="I152" i="1" s="1"/>
  <c r="E153" i="1" s="1"/>
  <c r="G152" i="1"/>
  <c r="F152" i="1"/>
  <c r="H153" i="1" l="1"/>
  <c r="I153" i="1" s="1"/>
  <c r="E154" i="1" s="1"/>
  <c r="G153" i="1"/>
  <c r="F153" i="1"/>
  <c r="F154" i="1" l="1"/>
  <c r="G154" i="1"/>
  <c r="H154" i="1"/>
  <c r="I154" i="1" s="1"/>
  <c r="E155" i="1" s="1"/>
  <c r="F155" i="1" l="1"/>
  <c r="H155" i="1"/>
  <c r="I155" i="1" s="1"/>
  <c r="E156" i="1" s="1"/>
  <c r="G155" i="1"/>
  <c r="H156" i="1" l="1"/>
  <c r="I156" i="1" s="1"/>
  <c r="E157" i="1" s="1"/>
  <c r="G156" i="1"/>
  <c r="F156" i="1"/>
  <c r="G157" i="1" l="1"/>
  <c r="F157" i="1"/>
  <c r="H157" i="1"/>
  <c r="I157" i="1" s="1"/>
  <c r="E158" i="1" s="1"/>
  <c r="H158" i="1" l="1"/>
  <c r="I158" i="1" s="1"/>
  <c r="E159" i="1" s="1"/>
  <c r="F158" i="1"/>
  <c r="G158" i="1"/>
  <c r="F159" i="1" l="1"/>
  <c r="G159" i="1"/>
  <c r="H159" i="1"/>
  <c r="I159" i="1" s="1"/>
  <c r="E160" i="1" s="1"/>
  <c r="F160" i="1" l="1"/>
  <c r="G160" i="1"/>
  <c r="H160" i="1"/>
  <c r="I160" i="1" s="1"/>
  <c r="E161" i="1" s="1"/>
  <c r="F161" i="1" l="1"/>
  <c r="H161" i="1"/>
  <c r="I161" i="1" s="1"/>
  <c r="E162" i="1" s="1"/>
  <c r="G161" i="1"/>
  <c r="G162" i="1" l="1"/>
  <c r="H162" i="1"/>
  <c r="I162" i="1" s="1"/>
  <c r="E163" i="1" s="1"/>
  <c r="F162" i="1"/>
  <c r="G163" i="1" l="1"/>
  <c r="H163" i="1"/>
  <c r="I163" i="1" s="1"/>
  <c r="E164" i="1" s="1"/>
  <c r="F163" i="1"/>
  <c r="H164" i="1" l="1"/>
  <c r="I164" i="1" s="1"/>
  <c r="E165" i="1" s="1"/>
  <c r="G164" i="1"/>
  <c r="F164" i="1"/>
  <c r="F165" i="1" l="1"/>
  <c r="G165" i="1"/>
  <c r="H165" i="1"/>
  <c r="I165" i="1" s="1"/>
  <c r="E166" i="1" s="1"/>
  <c r="H166" i="1" l="1"/>
  <c r="I166" i="1" s="1"/>
  <c r="E167" i="1" s="1"/>
  <c r="G166" i="1"/>
  <c r="F166" i="1"/>
  <c r="H167" i="1" l="1"/>
  <c r="I167" i="1" s="1"/>
  <c r="E168" i="1" s="1"/>
  <c r="F167" i="1"/>
  <c r="G167" i="1"/>
  <c r="F168" i="1" l="1"/>
  <c r="G168" i="1"/>
  <c r="H168" i="1"/>
  <c r="I168" i="1" s="1"/>
  <c r="E169" i="1" s="1"/>
  <c r="H169" i="1" l="1"/>
  <c r="I169" i="1" s="1"/>
  <c r="E170" i="1" s="1"/>
  <c r="F169" i="1"/>
  <c r="G169" i="1"/>
  <c r="H170" i="1" l="1"/>
  <c r="I170" i="1" s="1"/>
  <c r="E171" i="1" s="1"/>
  <c r="F170" i="1"/>
  <c r="G170" i="1"/>
  <c r="H171" i="1" l="1"/>
  <c r="I171" i="1" s="1"/>
  <c r="E172" i="1" s="1"/>
  <c r="F171" i="1"/>
  <c r="G171" i="1"/>
  <c r="H172" i="1" l="1"/>
  <c r="I172" i="1" s="1"/>
  <c r="G172" i="1"/>
  <c r="F172" i="1"/>
</calcChain>
</file>

<file path=xl/comments1.xml><?xml version="1.0" encoding="utf-8"?>
<comments xmlns="http://schemas.openxmlformats.org/spreadsheetml/2006/main">
  <authors>
    <author>Mo Ewing</author>
    <author>Cheryl Cufre</author>
    <author>Cheryl Wagner</author>
  </authors>
  <commentList>
    <comment ref="K22" authorId="0">
      <text>
        <r>
          <rPr>
            <b/>
            <sz val="8"/>
            <color indexed="81"/>
            <rFont val="Tahoma"/>
            <family val="2"/>
          </rPr>
          <t>If property is greater than 100 miles from COL but there is one easement nearby, use 50% of total round-trip miles.  Use 33% of total miles if 3 easements are nearby.</t>
        </r>
      </text>
    </comment>
    <comment ref="K24" authorId="0">
      <text>
        <r>
          <rPr>
            <b/>
            <sz val="8"/>
            <color indexed="81"/>
            <rFont val="Tahoma"/>
            <family val="2"/>
          </rPr>
          <t>Add $100 if property is more than 100 miles away; $50 if another property is within 50 miles of this property</t>
        </r>
      </text>
    </comment>
    <comment ref="K33" authorId="1">
      <text>
        <r>
          <rPr>
            <sz val="9"/>
            <color indexed="81"/>
            <rFont val="Tahoma"/>
            <charset val="1"/>
          </rPr>
          <t>Includes monitoring set-up, review of easement and monitoring procedures</t>
        </r>
      </text>
    </comment>
    <comment ref="K34" authorId="0">
      <text>
        <r>
          <rPr>
            <b/>
            <sz val="8"/>
            <color indexed="81"/>
            <rFont val="Tahoma"/>
            <family val="2"/>
          </rPr>
          <t xml:space="preserve">Consider whether the easement has to be monitored by foot or by car.  If by car are there roads to all areas of the easement? Typically &lt;100 acres 1 hrs; 100-200 - 2 hrs;' 200-1000 acres 3 hrs; 1000-5,000 acres 4 hrs; &gt;5,000 5+ hr
</t>
        </r>
      </text>
    </comment>
    <comment ref="K38" authorId="0">
      <text>
        <r>
          <rPr>
            <b/>
            <sz val="8"/>
            <color indexed="81"/>
            <rFont val="Tahoma"/>
            <family val="2"/>
          </rPr>
          <t>Consider each building envelope to be one reserved right.</t>
        </r>
      </text>
    </comment>
    <comment ref="K45" authorId="2">
      <text>
        <r>
          <rPr>
            <b/>
            <sz val="9"/>
            <color indexed="81"/>
            <rFont val="Tahoma"/>
            <family val="2"/>
          </rPr>
          <t>Add 1 if a management plan needs to be updated. Typical management plans are updated every 5 years. 2 hours required to update management plan 2/5= .4</t>
        </r>
      </text>
    </comment>
    <comment ref="K62" authorId="1">
      <text>
        <r>
          <rPr>
            <b/>
            <sz val="9"/>
            <color indexed="81"/>
            <rFont val="Tahoma"/>
            <family val="2"/>
          </rPr>
          <t>Enter "1" if the right to develop minerals has been reserved OR if the minerals are severed.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68" authorId="1">
      <text>
        <r>
          <rPr>
            <b/>
            <sz val="9"/>
            <color indexed="81"/>
            <rFont val="Tahoma"/>
            <family val="2"/>
          </rPr>
          <t>Enter 1 for each government funder with extra level of requirements for stewarding the easement. 
E.g. if funded by GOCO enter "1"; if funded by GOCO and NRCS enter "2"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<sst xmlns="http://schemas.openxmlformats.org/spreadsheetml/2006/main" count="213" uniqueCount="180">
  <si>
    <t>A. Assumptions</t>
  </si>
  <si>
    <t xml:space="preserve"> </t>
  </si>
  <si>
    <t>Hours worked per year (50 wks x 40 hrs/wk less 7 holidays x 8 hrs/day)</t>
  </si>
  <si>
    <t>Salary per hour (annual salary / hours worked per year)</t>
  </si>
  <si>
    <t xml:space="preserve">Average miles for a round trip (office to property and return) </t>
  </si>
  <si>
    <t>Average vehicular speed for entire trip</t>
  </si>
  <si>
    <t>Staff time for Monitoring</t>
  </si>
  <si>
    <t>Average pre-monitoring time</t>
  </si>
  <si>
    <t>Average time spent monitoring</t>
  </si>
  <si>
    <t xml:space="preserve">Average post-monitoring time </t>
  </si>
  <si>
    <t>Number of site visits required to review change per time</t>
  </si>
  <si>
    <t>Staff time needed for annual landowner relations</t>
  </si>
  <si>
    <t>Negotiations prior to obtaining counsel</t>
  </si>
  <si>
    <t>How often will negotiations be anticipated in a 20 year period?</t>
  </si>
  <si>
    <t>Therefore likelihood of negotiations in a 20 year period is:</t>
  </si>
  <si>
    <t>Staff time needed to defend an easement</t>
  </si>
  <si>
    <t>Costs of obtaining legal counsel</t>
  </si>
  <si>
    <t>Additional costs (e.g. expert witnesses etc.)</t>
  </si>
  <si>
    <t>Therefore the Treasury Bond rate less the  inflation rate is:</t>
  </si>
  <si>
    <t>B. Formulas</t>
  </si>
  <si>
    <t>activities used in the final calculation.  Assumptions from Section A above are used in the formulas.</t>
  </si>
  <si>
    <t>2. Travel Costs for Each Site Visit</t>
  </si>
  <si>
    <t>Mileage reimbursement: mileage x reimbursement rate</t>
  </si>
  <si>
    <t>Staff costs for travel time:</t>
  </si>
  <si>
    <t xml:space="preserve">   hourly staff rate x (mileage divided by average vehicular speed)</t>
  </si>
  <si>
    <t>Reimbursable travel expenses</t>
  </si>
  <si>
    <t>Pre-monitoring staff costs: hourly staff rate x staff time needed</t>
  </si>
  <si>
    <t>Monitoring staff costs: hourly staff rate x staff time needed</t>
  </si>
  <si>
    <t>Monitoring: hard costs</t>
  </si>
  <si>
    <t>Post-monitoring staff costs: hourly staff rate x staff time needed</t>
  </si>
  <si>
    <t>Travel costs for each site visit (see formula #2 above)</t>
  </si>
  <si>
    <t xml:space="preserve">Costs of supplies </t>
  </si>
  <si>
    <t>Staff costs: hourly staff rate x hours needed</t>
  </si>
  <si>
    <t>Staff costs:  hourly staff rate x hours needed</t>
  </si>
  <si>
    <t>x percentage likelihood of negotiations within 20 years</t>
  </si>
  <si>
    <t>Total Annual Expenses</t>
  </si>
  <si>
    <t>Total Annual Costs (see above)</t>
  </si>
  <si>
    <t>and the interest rate (see assumption above where 4.0% = .040)</t>
  </si>
  <si>
    <t>two parties will ever have to go to court.  Each land trust must, however, recognize that even with the best</t>
  </si>
  <si>
    <t xml:space="preserve">efforts, sometimes it is necessary to go to court.  </t>
  </si>
  <si>
    <t>From the assumptions it costs almost $50,000 to defend an easement.  To be on the safe side, the land</t>
  </si>
  <si>
    <t>Maximum Defense Fund</t>
  </si>
  <si>
    <t>divided by 30 easements</t>
  </si>
  <si>
    <t>Total: Costs of Defending an Easement</t>
  </si>
  <si>
    <t>Commentary:</t>
  </si>
  <si>
    <t>Difference between average Treasury Bond and interest rate</t>
  </si>
  <si>
    <t>Annual payout needed each year</t>
  </si>
  <si>
    <t>Total</t>
  </si>
  <si>
    <t>Annual</t>
  </si>
  <si>
    <t>Beginning</t>
  </si>
  <si>
    <t>Earned</t>
  </si>
  <si>
    <t>Monitoring</t>
  </si>
  <si>
    <t>Return to</t>
  </si>
  <si>
    <t>Ending</t>
  </si>
  <si>
    <t>Year</t>
  </si>
  <si>
    <t>Endowmnt</t>
  </si>
  <si>
    <t>Interest</t>
  </si>
  <si>
    <t>Costs</t>
  </si>
  <si>
    <t>Investment Return Analysis</t>
  </si>
  <si>
    <t>30 Yr US</t>
  </si>
  <si>
    <t>Consumer Price Index</t>
  </si>
  <si>
    <t>Treasury Bond Yield</t>
  </si>
  <si>
    <t>Urban Consumers</t>
  </si>
  <si>
    <t>Difference</t>
  </si>
  <si>
    <t>Average</t>
  </si>
  <si>
    <t>Sources:</t>
  </si>
  <si>
    <t>Treasury Bond Data:</t>
  </si>
  <si>
    <t>Federal Reserve Board</t>
  </si>
  <si>
    <t>Bureau of Labor Statistics</t>
  </si>
  <si>
    <t>[Name of] Conservation Easement</t>
  </si>
  <si>
    <t>Therefore the likelihood of exercise of reserved right etc. in any</t>
  </si>
  <si>
    <t>one year is:</t>
  </si>
  <si>
    <t>Average staff hours needed for exercise of reserved rights etc. per time</t>
  </si>
  <si>
    <t>Average 30 year Treasury Bond rate of return:</t>
  </si>
  <si>
    <t>Consumer Price Index (not seasonally adjusted):</t>
  </si>
  <si>
    <t>Average 30 year Treasury Bond rate of return</t>
  </si>
  <si>
    <t>Average inflation rate</t>
  </si>
  <si>
    <t>calculated here.</t>
  </si>
  <si>
    <t>easements, then $2,000 per easement ought to be set aside to build up the Easement Defense Fund.</t>
  </si>
  <si>
    <t xml:space="preserve">trust ought to set aside almost $60,000 in the Easement Defense Fund.  If a land trust holds 30 </t>
  </si>
  <si>
    <t>and are called the Assumptions.  These assumptions are estimates drawn from experience.</t>
  </si>
  <si>
    <t>Average inflation rate for a 20 year period:</t>
  </si>
  <si>
    <r>
      <t>Commentary:</t>
    </r>
    <r>
      <rPr>
        <i/>
        <sz val="8"/>
        <rFont val="Times New Roman"/>
        <family val="1"/>
      </rPr>
      <t>These numbers are estimates.  See Section E. below for explanation.</t>
    </r>
  </si>
  <si>
    <r>
      <t>Commentary:</t>
    </r>
    <r>
      <rPr>
        <i/>
        <sz val="8"/>
        <rFont val="Times New Roman"/>
        <family val="1"/>
      </rPr>
      <t xml:space="preserve"> The derivation of these numbers is shown on the last page of this spreadsheet.</t>
    </r>
  </si>
  <si>
    <r>
      <t>Commentary</t>
    </r>
    <r>
      <rPr>
        <i/>
        <sz val="8"/>
        <rFont val="Times New Roman"/>
        <family val="1"/>
      </rPr>
      <t xml:space="preserve">:  The following computations are used to calculate the overall expenses for certain rates or </t>
    </r>
  </si>
  <si>
    <r>
      <t>Commentary:</t>
    </r>
    <r>
      <rPr>
        <i/>
        <sz val="8"/>
        <rFont val="Times New Roman"/>
        <family val="1"/>
      </rPr>
      <t xml:space="preserve">  Only those costs associated with travelling to and from an easement have been</t>
    </r>
  </si>
  <si>
    <r>
      <t>Total</t>
    </r>
    <r>
      <rPr>
        <sz val="10"/>
        <rFont val="Times New Roman"/>
        <family val="1"/>
      </rPr>
      <t>: Travel Costs for Each Site Visit</t>
    </r>
  </si>
  <si>
    <r>
      <t>Total</t>
    </r>
    <r>
      <rPr>
        <sz val="10"/>
        <rFont val="Times New Roman"/>
        <family val="1"/>
      </rPr>
      <t xml:space="preserve"> Annual Monitoring Expenses</t>
    </r>
  </si>
  <si>
    <r>
      <t>Total</t>
    </r>
    <r>
      <rPr>
        <sz val="10"/>
        <rFont val="Times New Roman"/>
        <family val="1"/>
      </rPr>
      <t xml:space="preserve"> Annual Landowner Relations Costs</t>
    </r>
  </si>
  <si>
    <r>
      <t>Total</t>
    </r>
    <r>
      <rPr>
        <sz val="10"/>
        <rFont val="Times New Roman"/>
        <family val="1"/>
      </rPr>
      <t>: Per year cost of exercise of reserved right</t>
    </r>
  </si>
  <si>
    <r>
      <t>divided by</t>
    </r>
    <r>
      <rPr>
        <sz val="10"/>
        <rFont val="Times New Roman"/>
        <family val="1"/>
      </rPr>
      <t xml:space="preserve"> the difference between Treasury Bond rate</t>
    </r>
  </si>
  <si>
    <r>
      <t>Commentary:</t>
    </r>
    <r>
      <rPr>
        <i/>
        <sz val="8"/>
        <rFont val="Times New Roman"/>
        <family val="1"/>
      </rPr>
      <t xml:space="preserve">  The better the relationship between the landowner and the land trust, the less likely the</t>
    </r>
  </si>
  <si>
    <r>
      <t>Total:</t>
    </r>
    <r>
      <rPr>
        <sz val="10"/>
        <rFont val="Times New Roman"/>
        <family val="1"/>
      </rPr>
      <t xml:space="preserve"> Cost of Defending an Easement</t>
    </r>
  </si>
  <si>
    <r>
      <t>Total</t>
    </r>
    <r>
      <rPr>
        <sz val="10"/>
        <rFont val="Times New Roman"/>
        <family val="1"/>
      </rPr>
      <t>: Contribution needed to Defend an Easement</t>
    </r>
  </si>
  <si>
    <t>(Note the 30 yr US rate was discontinued this year, 20yr used)</t>
  </si>
  <si>
    <t>(Note the 30 yr US rate was back)</t>
  </si>
  <si>
    <t>Colorado Open Lands</t>
  </si>
  <si>
    <t>How often will reserved rights etc. be exercised in a 10 year period?</t>
  </si>
  <si>
    <t>Litigation costs are 2.81 claims per 7,000 easements/year</t>
  </si>
  <si>
    <t>figure out violatons per year per easements.</t>
  </si>
  <si>
    <t>1= may be subdivided once, etc)</t>
  </si>
  <si>
    <t>Enter the number of times the easement may be subdivided (0 = no subdivision,</t>
  </si>
  <si>
    <r>
      <t xml:space="preserve">Commentary: </t>
    </r>
    <r>
      <rPr>
        <i/>
        <sz val="8"/>
        <rFont val="Times New Roman"/>
        <family val="1"/>
      </rPr>
      <t xml:space="preserve">The numbers in Section A are designed specifically for this easement </t>
    </r>
  </si>
  <si>
    <t>6. Annual Landowner Relations</t>
  </si>
  <si>
    <t>Costs of exercise of reserved right.</t>
  </si>
  <si>
    <t>Easement Defense insurance ($60 per easement per year)</t>
  </si>
  <si>
    <t xml:space="preserve">Annual salary </t>
  </si>
  <si>
    <t>Benefits</t>
  </si>
  <si>
    <t>Reimbursable travel expenses (lodging, meals, parking)</t>
  </si>
  <si>
    <t>Number of site visits required for a violation</t>
  </si>
  <si>
    <t xml:space="preserve">Average staff hours needed for violation negotiations </t>
  </si>
  <si>
    <t>Easement Defense insurance for each subdivision permitted</t>
  </si>
  <si>
    <t>Need to review</t>
  </si>
  <si>
    <t>3. Annual Monitoring Expenses</t>
  </si>
  <si>
    <t>1. Staff Salary, Benefits, &amp; Overhead Costs</t>
  </si>
  <si>
    <t>1. Hourly staff rate (including benefits and overhead)</t>
  </si>
  <si>
    <t>Monitoring Hard costs</t>
  </si>
  <si>
    <t>5. Management Plan Updates</t>
  </si>
  <si>
    <t>4. Frequency of Exercise of Reserved Rights</t>
  </si>
  <si>
    <t>7. Additional Costs for Subdividing the Property</t>
  </si>
  <si>
    <t>Cost of one negotiations over violations every 20 years</t>
  </si>
  <si>
    <t>Costs of easement defense insurance</t>
  </si>
  <si>
    <t>Total: Endowment Needed</t>
  </si>
  <si>
    <t>D. Costs of Defending an Easement</t>
  </si>
  <si>
    <t>1. Costs of defending an easement</t>
  </si>
  <si>
    <t>E.  Total Funds Needed to Accept, Monitor, and Defend the Easement</t>
  </si>
  <si>
    <t>Total: Funds needed to accept, monitor and defend the easement</t>
  </si>
  <si>
    <t>Overhead</t>
  </si>
  <si>
    <t>Total: Salary per hour (includes benefits and overhead)</t>
  </si>
  <si>
    <t xml:space="preserve">Cost of annual supplies </t>
  </si>
  <si>
    <t>(includes batteries, replacement of equipment e.g. cameras and gps)</t>
  </si>
  <si>
    <t>How often will management plan be updated in a 5 year period</t>
  </si>
  <si>
    <t>any one year is:</t>
  </si>
  <si>
    <t>Average staff hours needed for updating a management plan</t>
  </si>
  <si>
    <t>Endowment Needed to Fund Annual Expenses</t>
  </si>
  <si>
    <t xml:space="preserve"> Endowment Calculation</t>
  </si>
  <si>
    <t>Total Annual Costs (see below)</t>
  </si>
  <si>
    <t>Things to review:</t>
  </si>
  <si>
    <t>Cost of landowner relations- newsletter, etc</t>
  </si>
  <si>
    <t>2012 mileage reimbursmenet</t>
  </si>
  <si>
    <t>Costs of updating management plan once every 5 years</t>
  </si>
  <si>
    <t>Hard costs per landowner per year (e.g. newsletter, postage, etc.)</t>
  </si>
  <si>
    <t>Additional landowner relations hard costs</t>
  </si>
  <si>
    <t xml:space="preserve">Aditional staff hours needed yearly for multiple landowners </t>
  </si>
  <si>
    <t>Cost of supplies</t>
  </si>
  <si>
    <t xml:space="preserve">Therefore the likelihood of a management plan being updated in </t>
  </si>
  <si>
    <r>
      <t xml:space="preserve">Total: </t>
    </r>
    <r>
      <rPr>
        <sz val="10"/>
        <rFont val="Times New Roman"/>
        <family val="1"/>
      </rPr>
      <t>Annual Costs for a Subdivided Property</t>
    </r>
  </si>
  <si>
    <r>
      <t xml:space="preserve">Total: </t>
    </r>
    <r>
      <rPr>
        <sz val="10"/>
        <rFont val="Times New Roman"/>
        <family val="1"/>
      </rPr>
      <t>Annual Cost of Mineral Development</t>
    </r>
  </si>
  <si>
    <t>3. Annual Cost of Monitoring</t>
  </si>
  <si>
    <t>4. Annual Cost of Exercise of Reserved Rights</t>
  </si>
  <si>
    <t xml:space="preserve">6. Annual Cost of Landowner Relations </t>
  </si>
  <si>
    <t xml:space="preserve">7. Annual  Costs for a Subdivided Property </t>
  </si>
  <si>
    <t>8. Annual Costs for Mineral Development</t>
  </si>
  <si>
    <t>9. Annual Cost of Enforcement Actions</t>
  </si>
  <si>
    <t>9. Easement Enforcement Action Costs</t>
  </si>
  <si>
    <t>x percentage likelihood of right being exercised in any 10 years</t>
  </si>
  <si>
    <t xml:space="preserve">x pecentage of management plan update frequency </t>
  </si>
  <si>
    <r>
      <t>Total</t>
    </r>
    <r>
      <rPr>
        <sz val="10"/>
        <rFont val="Times New Roman"/>
        <family val="1"/>
      </rPr>
      <t>: Annual Cost of Negotiations</t>
    </r>
  </si>
  <si>
    <t>Costs of additional premimum for permitted subdivision</t>
  </si>
  <si>
    <t>Benefits and Overhead</t>
  </si>
  <si>
    <t>8. Additional Costs for Hydrocarbon Development</t>
  </si>
  <si>
    <t>How often will hydrocarbon rights be excercised in a 10 year period?</t>
  </si>
  <si>
    <t>Therefore the likelihood of hydrocarbon development in any one year is:</t>
  </si>
  <si>
    <t>Additional staff hours needed for hydrocarbon development</t>
  </si>
  <si>
    <t>Reimbursement per mile (as of 01.01.15 per IRS)</t>
  </si>
  <si>
    <t>5. Annual  Cost of Management Plan Updates</t>
  </si>
  <si>
    <t xml:space="preserve">9. Additional Costs for Funder </t>
  </si>
  <si>
    <t>9. Annual Costs for Funder</t>
  </si>
  <si>
    <r>
      <t xml:space="preserve">Total: </t>
    </r>
    <r>
      <rPr>
        <sz val="10"/>
        <rFont val="Times New Roman"/>
        <family val="1"/>
      </rPr>
      <t>Annual Cost of Funder</t>
    </r>
  </si>
  <si>
    <t>Therefore the likelihood of funder rights in any one year is:</t>
  </si>
  <si>
    <t>Additional staff hours needed for funder rights</t>
  </si>
  <si>
    <t>How often will funder rights be excercised in a 5 year period?</t>
  </si>
  <si>
    <t>x percentage likelihood of right being exercised in any 5 years</t>
  </si>
  <si>
    <t>Worksheet Calculating the Costs of Stewardship and Defense of a Conservation Easement and the Reserve Needed to Support it</t>
  </si>
  <si>
    <t>Total: Reserve Needed</t>
  </si>
  <si>
    <t>1. Reserve Assumptions</t>
  </si>
  <si>
    <t>1. Reserve Calculation</t>
  </si>
  <si>
    <t>Total: Stewardship Reserve Needed to Fund Annual Costs</t>
  </si>
  <si>
    <t>Demonstration that reserve does not diminish with time.</t>
  </si>
  <si>
    <t xml:space="preserve"> C. Reserve Needed to Fund Annual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</si>
</sst>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_)"/>
    <numFmt numFmtId="165" formatCode="&quot;$&quot;#,##0.00"/>
    <numFmt numFmtId="166" formatCode="0.0%"/>
    <numFmt numFmtId="167" formatCode="#,##0.0"/>
    <numFmt numFmtId="168" formatCode="0.000"/>
    <numFmt numFmtId="169" formatCode="&quot;$&quot;#,##0.000"/>
    <numFmt numFmtId="170" formatCode="#,##0.000"/>
  </numFmts>
  <fonts count="25" x14ac:knownFonts="1">
    <font>
      <sz val="10"/>
      <name val="Arial"/>
    </font>
    <font>
      <sz val="10"/>
      <name val="Arial"/>
      <family val="2"/>
    </font>
    <font>
      <b/>
      <sz val="18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u/>
      <sz val="10"/>
      <name val="Times New Roman"/>
      <family val="1"/>
    </font>
    <font>
      <b/>
      <sz val="14"/>
      <name val="Times New Roman"/>
      <family val="1"/>
    </font>
    <font>
      <b/>
      <u/>
      <sz val="12"/>
      <name val="Times New Roman"/>
      <family val="1"/>
    </font>
    <font>
      <i/>
      <sz val="10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b/>
      <u/>
      <sz val="10"/>
      <name val="Times New Roman"/>
      <family val="1"/>
    </font>
    <font>
      <b/>
      <sz val="8"/>
      <color indexed="81"/>
      <name val="Tahoma"/>
      <family val="2"/>
    </font>
    <font>
      <sz val="10"/>
      <color indexed="10"/>
      <name val="Times New Roman"/>
      <family val="1"/>
    </font>
    <font>
      <sz val="10"/>
      <color indexed="48"/>
      <name val="Times New Roman"/>
      <family val="1"/>
    </font>
    <font>
      <sz val="10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sz val="10"/>
      <color rgb="FFFF0000"/>
      <name val="Times New Roman"/>
      <family val="1"/>
    </font>
    <font>
      <b/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2" fontId="4" fillId="0" borderId="0" xfId="0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165" fontId="4" fillId="0" borderId="0" xfId="0" applyNumberFormat="1" applyFont="1"/>
    <xf numFmtId="3" fontId="4" fillId="0" borderId="0" xfId="0" applyNumberFormat="1" applyFont="1"/>
    <xf numFmtId="169" fontId="4" fillId="0" borderId="0" xfId="0" applyNumberFormat="1" applyFont="1"/>
    <xf numFmtId="4" fontId="4" fillId="0" borderId="0" xfId="0" applyNumberFormat="1" applyFont="1"/>
    <xf numFmtId="10" fontId="4" fillId="0" borderId="0" xfId="0" applyNumberFormat="1" applyFont="1"/>
    <xf numFmtId="166" fontId="4" fillId="0" borderId="0" xfId="0" applyNumberFormat="1" applyFont="1"/>
    <xf numFmtId="165" fontId="7" fillId="0" borderId="0" xfId="0" applyNumberFormat="1" applyFont="1"/>
    <xf numFmtId="0" fontId="13" fillId="0" borderId="0" xfId="0" applyFont="1"/>
    <xf numFmtId="9" fontId="7" fillId="0" borderId="0" xfId="0" applyNumberFormat="1" applyFont="1"/>
    <xf numFmtId="168" fontId="7" fillId="0" borderId="0" xfId="0" applyNumberFormat="1" applyFont="1"/>
    <xf numFmtId="0" fontId="14" fillId="0" borderId="0" xfId="0" applyFont="1"/>
    <xf numFmtId="3" fontId="4" fillId="0" borderId="0" xfId="0" applyNumberFormat="1" applyFont="1" applyAlignment="1">
      <alignment horizontal="centerContinuous"/>
    </xf>
    <xf numFmtId="3" fontId="5" fillId="0" borderId="0" xfId="0" applyNumberFormat="1" applyFont="1"/>
    <xf numFmtId="3" fontId="5" fillId="0" borderId="0" xfId="0" applyNumberFormat="1" applyFont="1" applyAlignment="1">
      <alignment horizontal="centerContinuous"/>
    </xf>
    <xf numFmtId="0" fontId="15" fillId="0" borderId="0" xfId="0" applyFont="1"/>
    <xf numFmtId="3" fontId="15" fillId="0" borderId="0" xfId="0" applyNumberFormat="1" applyFont="1" applyAlignment="1">
      <alignment horizontal="centerContinuous"/>
    </xf>
    <xf numFmtId="14" fontId="4" fillId="0" borderId="0" xfId="0" applyNumberFormat="1" applyFont="1"/>
    <xf numFmtId="166" fontId="7" fillId="0" borderId="0" xfId="0" applyNumberFormat="1" applyFont="1"/>
    <xf numFmtId="0" fontId="23" fillId="0" borderId="0" xfId="0" applyFont="1"/>
    <xf numFmtId="0" fontId="2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7" fillId="0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4" fillId="3" borderId="0" xfId="0" applyFont="1" applyFill="1"/>
    <xf numFmtId="0" fontId="4" fillId="3" borderId="0" xfId="0" applyFont="1" applyFill="1" applyAlignment="1">
      <alignment wrapText="1"/>
    </xf>
    <xf numFmtId="0" fontId="5" fillId="3" borderId="0" xfId="0" applyFont="1" applyFill="1"/>
    <xf numFmtId="170" fontId="4" fillId="3" borderId="0" xfId="0" applyNumberFormat="1" applyFont="1" applyFill="1"/>
    <xf numFmtId="165" fontId="4" fillId="3" borderId="0" xfId="0" applyNumberFormat="1" applyFont="1" applyFill="1"/>
    <xf numFmtId="0" fontId="8" fillId="3" borderId="0" xfId="0" applyFont="1" applyFill="1"/>
    <xf numFmtId="0" fontId="9" fillId="3" borderId="0" xfId="0" applyFont="1" applyFill="1"/>
    <xf numFmtId="0" fontId="5" fillId="4" borderId="0" xfId="0" applyFont="1" applyFill="1"/>
    <xf numFmtId="0" fontId="4" fillId="4" borderId="0" xfId="0" applyFont="1" applyFill="1"/>
    <xf numFmtId="165" fontId="4" fillId="4" borderId="0" xfId="0" applyNumberFormat="1" applyFont="1" applyFill="1"/>
    <xf numFmtId="0" fontId="4" fillId="0" borderId="0" xfId="0" applyFont="1" applyFill="1"/>
    <xf numFmtId="0" fontId="23" fillId="3" borderId="0" xfId="0" applyFont="1" applyFill="1"/>
    <xf numFmtId="0" fontId="23" fillId="3" borderId="0" xfId="0" applyFont="1" applyFill="1" applyAlignment="1">
      <alignment wrapText="1"/>
    </xf>
    <xf numFmtId="165" fontId="19" fillId="3" borderId="0" xfId="0" applyNumberFormat="1" applyFont="1" applyFill="1"/>
    <xf numFmtId="165" fontId="19" fillId="4" borderId="0" xfId="0" applyNumberFormat="1" applyFont="1" applyFill="1"/>
    <xf numFmtId="165" fontId="4" fillId="0" borderId="0" xfId="0" applyNumberFormat="1" applyFont="1" applyFill="1"/>
    <xf numFmtId="0" fontId="4" fillId="0" borderId="0" xfId="0" applyFont="1" applyFill="1" applyAlignment="1">
      <alignment wrapText="1"/>
    </xf>
    <xf numFmtId="0" fontId="19" fillId="0" borderId="0" xfId="0" applyFont="1" applyFill="1"/>
    <xf numFmtId="165" fontId="19" fillId="0" borderId="0" xfId="0" applyNumberFormat="1" applyFont="1" applyFill="1"/>
    <xf numFmtId="4" fontId="4" fillId="0" borderId="0" xfId="0" applyNumberFormat="1" applyFont="1" applyFill="1"/>
    <xf numFmtId="0" fontId="5" fillId="0" borderId="0" xfId="0" applyFont="1" applyFill="1"/>
    <xf numFmtId="0" fontId="11" fillId="0" borderId="0" xfId="0" applyFont="1" applyFill="1"/>
    <xf numFmtId="0" fontId="4" fillId="4" borderId="0" xfId="0" applyFont="1" applyFill="1" applyAlignment="1">
      <alignment wrapText="1"/>
    </xf>
    <xf numFmtId="0" fontId="14" fillId="5" borderId="0" xfId="0" applyFont="1" applyFill="1"/>
    <xf numFmtId="0" fontId="24" fillId="5" borderId="0" xfId="0" applyFont="1" applyFill="1"/>
    <xf numFmtId="0" fontId="24" fillId="5" borderId="0" xfId="0" applyFont="1" applyFill="1" applyAlignment="1">
      <alignment wrapText="1"/>
    </xf>
    <xf numFmtId="165" fontId="14" fillId="5" borderId="0" xfId="0" applyNumberFormat="1" applyFont="1" applyFill="1"/>
    <xf numFmtId="0" fontId="14" fillId="5" borderId="0" xfId="0" applyFont="1" applyFill="1" applyAlignment="1">
      <alignment wrapText="1"/>
    </xf>
    <xf numFmtId="0" fontId="14" fillId="0" borderId="0" xfId="0" applyFont="1" applyFill="1"/>
    <xf numFmtId="0" fontId="24" fillId="0" borderId="0" xfId="0" applyFont="1" applyFill="1"/>
    <xf numFmtId="0" fontId="24" fillId="0" borderId="0" xfId="0" applyFont="1" applyFill="1" applyAlignment="1">
      <alignment wrapText="1"/>
    </xf>
    <xf numFmtId="165" fontId="14" fillId="0" borderId="0" xfId="0" applyNumberFormat="1" applyFont="1" applyFill="1"/>
    <xf numFmtId="2" fontId="4" fillId="3" borderId="0" xfId="0" applyNumberFormat="1" applyFont="1" applyFill="1" applyAlignment="1">
      <alignment horizontal="center"/>
    </xf>
    <xf numFmtId="2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69" fontId="4" fillId="0" borderId="0" xfId="0" applyNumberFormat="1" applyFont="1" applyAlignment="1">
      <alignment horizontal="center"/>
    </xf>
    <xf numFmtId="165" fontId="23" fillId="0" borderId="0" xfId="0" applyNumberFormat="1" applyFont="1" applyAlignment="1">
      <alignment horizontal="center"/>
    </xf>
    <xf numFmtId="4" fontId="4" fillId="3" borderId="0" xfId="0" applyNumberFormat="1" applyFont="1" applyFill="1" applyAlignment="1">
      <alignment horizontal="center"/>
    </xf>
    <xf numFmtId="4" fontId="4" fillId="0" borderId="0" xfId="0" applyNumberFormat="1" applyFont="1" applyAlignment="1">
      <alignment horizontal="center"/>
    </xf>
    <xf numFmtId="3" fontId="4" fillId="2" borderId="0" xfId="0" applyNumberFormat="1" applyFont="1" applyFill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7" fontId="4" fillId="0" borderId="0" xfId="0" applyNumberFormat="1" applyFont="1" applyAlignment="1">
      <alignment horizontal="center"/>
    </xf>
    <xf numFmtId="167" fontId="4" fillId="2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9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4" fontId="4" fillId="6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9" fontId="4" fillId="0" borderId="0" xfId="0" applyNumberFormat="1" applyFont="1" applyFill="1" applyAlignment="1">
      <alignment horizontal="center"/>
    </xf>
    <xf numFmtId="1" fontId="4" fillId="0" borderId="0" xfId="0" applyNumberFormat="1" applyFont="1" applyAlignment="1">
      <alignment horizontal="center"/>
    </xf>
    <xf numFmtId="1" fontId="4" fillId="3" borderId="0" xfId="0" applyNumberFormat="1" applyFont="1" applyFill="1" applyAlignment="1">
      <alignment horizontal="center"/>
    </xf>
    <xf numFmtId="1" fontId="4" fillId="4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4" fontId="4" fillId="0" borderId="0" xfId="0" applyNumberFormat="1" applyFont="1" applyFill="1" applyAlignment="1">
      <alignment horizontal="center"/>
    </xf>
    <xf numFmtId="10" fontId="24" fillId="5" borderId="0" xfId="0" applyNumberFormat="1" applyFont="1" applyFill="1" applyAlignment="1">
      <alignment horizontal="center"/>
    </xf>
    <xf numFmtId="10" fontId="24" fillId="0" borderId="0" xfId="0" applyNumberFormat="1" applyFont="1" applyFill="1" applyAlignment="1">
      <alignment horizontal="center"/>
    </xf>
    <xf numFmtId="165" fontId="19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7" fillId="0" borderId="0" xfId="0" applyNumberFormat="1" applyFont="1" applyAlignment="1">
      <alignment horizontal="center"/>
    </xf>
    <xf numFmtId="165" fontId="14" fillId="5" borderId="0" xfId="0" applyNumberFormat="1" applyFont="1" applyFill="1" applyAlignment="1">
      <alignment horizontal="center"/>
    </xf>
    <xf numFmtId="10" fontId="4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3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4" fillId="6" borderId="0" xfId="0" applyNumberFormat="1" applyFont="1" applyFill="1" applyAlignment="1">
      <alignment horizontal="center"/>
    </xf>
    <xf numFmtId="0" fontId="23" fillId="0" borderId="0" xfId="0" applyFont="1" applyFill="1"/>
    <xf numFmtId="0" fontId="2" fillId="4" borderId="0" xfId="0" applyFont="1" applyFill="1"/>
    <xf numFmtId="165" fontId="2" fillId="4" borderId="0" xfId="0" applyNumberFormat="1" applyFont="1" applyFill="1"/>
    <xf numFmtId="0" fontId="23" fillId="0" borderId="0" xfId="0" applyFont="1" applyFill="1" applyAlignment="1">
      <alignment wrapText="1"/>
    </xf>
    <xf numFmtId="166" fontId="4" fillId="0" borderId="0" xfId="1" applyNumberFormat="1" applyFont="1"/>
    <xf numFmtId="3" fontId="5" fillId="0" borderId="0" xfId="0" applyNumberFormat="1" applyFont="1" applyAlignment="1">
      <alignment horizontal="left"/>
    </xf>
    <xf numFmtId="3" fontId="15" fillId="0" borderId="0" xfId="0" applyNumberFormat="1" applyFont="1" applyAlignment="1">
      <alignment horizontal="left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4" fillId="3" borderId="0" xfId="0" applyFont="1" applyFill="1" applyBorder="1"/>
    <xf numFmtId="0" fontId="4" fillId="0" borderId="0" xfId="0" applyFont="1" applyFill="1" applyBorder="1"/>
    <xf numFmtId="165" fontId="7" fillId="0" borderId="0" xfId="0" applyNumberFormat="1" applyFont="1" applyAlignment="1">
      <alignment horizontal="right"/>
    </xf>
    <xf numFmtId="165" fontId="7" fillId="0" borderId="0" xfId="0" applyNumberFormat="1" applyFont="1" applyFill="1" applyAlignment="1">
      <alignment horizontal="right"/>
    </xf>
    <xf numFmtId="0" fontId="10" fillId="0" borderId="0" xfId="0" applyFont="1" applyFill="1"/>
    <xf numFmtId="0" fontId="12" fillId="0" borderId="0" xfId="0" applyFont="1" applyFill="1"/>
    <xf numFmtId="0" fontId="7" fillId="0" borderId="0" xfId="0" applyFont="1" applyFill="1"/>
    <xf numFmtId="10" fontId="4" fillId="0" borderId="0" xfId="0" applyNumberFormat="1" applyFont="1" applyFill="1" applyAlignment="1">
      <alignment horizontal="center"/>
    </xf>
    <xf numFmtId="10" fontId="4" fillId="0" borderId="0" xfId="0" applyNumberFormat="1" applyFont="1" applyFill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R207"/>
  <sheetViews>
    <sheetView tabSelected="1" topLeftCell="A43" zoomScaleNormal="100" workbookViewId="0">
      <selection activeCell="P62" sqref="P62"/>
    </sheetView>
  </sheetViews>
  <sheetFormatPr defaultRowHeight="12.75" x14ac:dyDescent="0.2"/>
  <cols>
    <col min="1" max="1" width="0.85546875" style="3" customWidth="1"/>
    <col min="2" max="2" width="2.42578125" style="3" customWidth="1"/>
    <col min="3" max="3" width="4.7109375" style="3" customWidth="1"/>
    <col min="4" max="4" width="5.5703125" style="3" customWidth="1"/>
    <col min="5" max="5" width="9.42578125" style="3" customWidth="1"/>
    <col min="6" max="8" width="9.140625" style="3"/>
    <col min="9" max="9" width="10" style="3" customWidth="1"/>
    <col min="10" max="10" width="0.140625" style="3" customWidth="1"/>
    <col min="11" max="11" width="15.28515625" style="2" customWidth="1"/>
    <col min="12" max="12" width="0.42578125" style="3" customWidth="1"/>
    <col min="13" max="13" width="0.140625" style="33" customWidth="1"/>
    <col min="14" max="14" width="1.85546875" style="40" customWidth="1"/>
    <col min="15" max="15" width="4.42578125" style="3" customWidth="1"/>
    <col min="16" max="21" width="9.140625" style="3"/>
    <col min="22" max="22" width="6.140625" style="3" customWidth="1"/>
    <col min="23" max="23" width="1.5703125" style="3" customWidth="1"/>
    <col min="24" max="24" width="18.28515625" style="3" customWidth="1"/>
    <col min="25" max="70" width="9.140625" style="50"/>
    <col min="71" max="16384" width="9.140625" style="3"/>
  </cols>
  <sheetData>
    <row r="1" spans="1:70" ht="19.5" customHeight="1" x14ac:dyDescent="0.3">
      <c r="A1" s="131" t="s">
        <v>96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</row>
    <row r="2" spans="1:70" x14ac:dyDescent="0.2">
      <c r="A2" s="133" t="s">
        <v>173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</row>
    <row r="3" spans="1:70" ht="22.5" customHeight="1" x14ac:dyDescent="0.2">
      <c r="A3" s="135" t="s">
        <v>69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r="4" spans="1:70" s="40" customFormat="1" ht="18.75" x14ac:dyDescent="0.3">
      <c r="B4" s="45" t="s">
        <v>0</v>
      </c>
      <c r="C4" s="46"/>
      <c r="D4" s="46"/>
      <c r="E4" s="46"/>
      <c r="K4" s="72"/>
      <c r="M4" s="41"/>
      <c r="O4" s="45" t="s">
        <v>19</v>
      </c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</row>
    <row r="5" spans="1:70" ht="12.75" customHeight="1" x14ac:dyDescent="0.3">
      <c r="B5" s="6"/>
      <c r="C5" s="7"/>
      <c r="D5" s="7"/>
      <c r="E5" s="7"/>
      <c r="K5" s="73"/>
    </row>
    <row r="6" spans="1:70" x14ac:dyDescent="0.2">
      <c r="B6" s="9" t="s">
        <v>1</v>
      </c>
      <c r="C6" s="10" t="s">
        <v>102</v>
      </c>
      <c r="D6" s="9"/>
      <c r="E6" s="9"/>
      <c r="K6" s="73"/>
      <c r="P6" s="10" t="s">
        <v>84</v>
      </c>
    </row>
    <row r="7" spans="1:70" x14ac:dyDescent="0.2">
      <c r="C7" s="11" t="s">
        <v>80</v>
      </c>
      <c r="D7" s="9"/>
      <c r="E7" s="9"/>
      <c r="F7" s="9"/>
      <c r="G7" s="9"/>
      <c r="H7" s="9"/>
      <c r="I7" s="9"/>
      <c r="K7" s="73"/>
      <c r="P7" s="20" t="s">
        <v>20</v>
      </c>
    </row>
    <row r="8" spans="1:70" x14ac:dyDescent="0.2">
      <c r="C8" s="9"/>
      <c r="D8" s="9"/>
      <c r="E8" s="9"/>
      <c r="F8" s="9"/>
      <c r="G8" s="9"/>
      <c r="H8" s="9"/>
      <c r="I8" s="9"/>
      <c r="K8" s="73"/>
    </row>
    <row r="9" spans="1:70" x14ac:dyDescent="0.2">
      <c r="B9" s="12" t="s">
        <v>114</v>
      </c>
      <c r="K9" s="73"/>
      <c r="O9" s="12" t="s">
        <v>115</v>
      </c>
      <c r="X9" s="16"/>
      <c r="Y9" s="56"/>
    </row>
    <row r="10" spans="1:70" x14ac:dyDescent="0.2">
      <c r="K10" s="73"/>
      <c r="O10" s="12"/>
      <c r="X10" s="16"/>
      <c r="Y10" s="56"/>
    </row>
    <row r="11" spans="1:70" ht="15" customHeight="1" x14ac:dyDescent="0.2">
      <c r="C11" s="3" t="s">
        <v>106</v>
      </c>
      <c r="K11" s="74">
        <v>40000</v>
      </c>
      <c r="M11" s="34"/>
      <c r="O11" s="12"/>
      <c r="P11" s="3" t="s">
        <v>106</v>
      </c>
      <c r="X11" s="13">
        <v>40000</v>
      </c>
      <c r="Y11" s="114"/>
    </row>
    <row r="12" spans="1:70" ht="12" customHeight="1" x14ac:dyDescent="0.2">
      <c r="C12" s="3" t="s">
        <v>2</v>
      </c>
      <c r="K12" s="75">
        <f>50*40-(7*8)</f>
        <v>1944</v>
      </c>
      <c r="P12" s="3" t="s">
        <v>2</v>
      </c>
      <c r="X12" s="14">
        <f>50*40-(7*8)</f>
        <v>1944</v>
      </c>
      <c r="Y12" s="56"/>
    </row>
    <row r="13" spans="1:70" ht="16.5" customHeight="1" x14ac:dyDescent="0.2">
      <c r="C13" s="3" t="s">
        <v>3</v>
      </c>
      <c r="K13" s="76">
        <f>+K11/K12</f>
        <v>20.5761316872428</v>
      </c>
      <c r="M13" s="34"/>
      <c r="P13" s="3" t="s">
        <v>3</v>
      </c>
      <c r="X13" s="15">
        <f>+X11/X12</f>
        <v>20.5761316872428</v>
      </c>
      <c r="Y13" s="114"/>
    </row>
    <row r="14" spans="1:70" ht="12.75" customHeight="1" x14ac:dyDescent="0.2">
      <c r="C14" s="3" t="s">
        <v>159</v>
      </c>
      <c r="K14" s="105">
        <v>0.2</v>
      </c>
      <c r="P14" s="3" t="s">
        <v>159</v>
      </c>
      <c r="X14" s="13">
        <f>X13*0.2</f>
        <v>4.1152263374485605</v>
      </c>
      <c r="Y14" s="114"/>
    </row>
    <row r="15" spans="1:70" ht="18.75" customHeight="1" x14ac:dyDescent="0.2">
      <c r="K15" s="77"/>
      <c r="M15" s="34"/>
      <c r="Q15" s="47" t="s">
        <v>128</v>
      </c>
      <c r="R15" s="48"/>
      <c r="S15" s="48"/>
      <c r="T15" s="48"/>
      <c r="U15" s="48"/>
      <c r="V15" s="48"/>
      <c r="W15" s="48"/>
      <c r="X15" s="49">
        <f>SUM(X13:X14)</f>
        <v>24.691358024691361</v>
      </c>
      <c r="Y15" s="114"/>
    </row>
    <row r="16" spans="1:70" s="40" customFormat="1" x14ac:dyDescent="0.2">
      <c r="K16" s="78"/>
      <c r="M16" s="41"/>
      <c r="Q16" s="42"/>
      <c r="X16" s="43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</row>
    <row r="17" spans="2:70" x14ac:dyDescent="0.2">
      <c r="B17" s="12" t="s">
        <v>21</v>
      </c>
      <c r="K17" s="79"/>
      <c r="O17" s="12" t="s">
        <v>21</v>
      </c>
      <c r="X17" s="8"/>
    </row>
    <row r="18" spans="2:70" x14ac:dyDescent="0.2">
      <c r="B18" s="12"/>
      <c r="K18" s="79"/>
      <c r="O18" s="12"/>
      <c r="P18" s="10" t="s">
        <v>85</v>
      </c>
      <c r="X18" s="8"/>
    </row>
    <row r="19" spans="2:70" x14ac:dyDescent="0.2">
      <c r="B19" s="12"/>
      <c r="K19" s="79"/>
      <c r="O19" s="12"/>
      <c r="P19" s="11" t="s">
        <v>77</v>
      </c>
      <c r="X19" s="8"/>
    </row>
    <row r="20" spans="2:70" x14ac:dyDescent="0.2">
      <c r="K20" s="79"/>
      <c r="X20" s="8"/>
    </row>
    <row r="21" spans="2:70" x14ac:dyDescent="0.2">
      <c r="C21" s="3" t="s">
        <v>164</v>
      </c>
      <c r="K21" s="76">
        <v>0.54</v>
      </c>
      <c r="P21" s="3" t="s">
        <v>22</v>
      </c>
      <c r="X21" s="13">
        <f>+K21*K22</f>
        <v>0</v>
      </c>
    </row>
    <row r="22" spans="2:70" x14ac:dyDescent="0.2">
      <c r="C22" s="3" t="s">
        <v>4</v>
      </c>
      <c r="K22" s="80">
        <v>0</v>
      </c>
      <c r="P22" s="3" t="s">
        <v>23</v>
      </c>
      <c r="X22" s="8"/>
    </row>
    <row r="23" spans="2:70" x14ac:dyDescent="0.2">
      <c r="C23" s="3" t="s">
        <v>5</v>
      </c>
      <c r="K23" s="75">
        <v>45</v>
      </c>
      <c r="P23" s="3" t="s">
        <v>24</v>
      </c>
      <c r="X23" s="15">
        <f>+(K22/K23)*X15</f>
        <v>0</v>
      </c>
    </row>
    <row r="24" spans="2:70" x14ac:dyDescent="0.2">
      <c r="C24" s="3" t="s">
        <v>108</v>
      </c>
      <c r="K24" s="81">
        <v>0</v>
      </c>
      <c r="P24" s="3" t="s">
        <v>25</v>
      </c>
      <c r="X24" s="19">
        <f>+K24</f>
        <v>0</v>
      </c>
    </row>
    <row r="25" spans="2:70" x14ac:dyDescent="0.2">
      <c r="K25" s="79"/>
      <c r="O25" s="3" t="s">
        <v>1</v>
      </c>
      <c r="Q25" s="47" t="s">
        <v>86</v>
      </c>
      <c r="R25" s="48"/>
      <c r="S25" s="48"/>
      <c r="T25" s="48"/>
      <c r="U25" s="48"/>
      <c r="V25" s="48"/>
      <c r="W25" s="48"/>
      <c r="X25" s="49">
        <f>SUM(X21:X24)</f>
        <v>0</v>
      </c>
    </row>
    <row r="26" spans="2:70" s="40" customFormat="1" x14ac:dyDescent="0.2">
      <c r="K26" s="78"/>
      <c r="M26" s="41"/>
      <c r="Q26" s="42"/>
      <c r="X26" s="44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</row>
    <row r="27" spans="2:70" x14ac:dyDescent="0.2">
      <c r="B27" s="12" t="s">
        <v>113</v>
      </c>
      <c r="K27" s="79"/>
      <c r="O27" s="12" t="s">
        <v>148</v>
      </c>
    </row>
    <row r="28" spans="2:70" ht="17.25" customHeight="1" x14ac:dyDescent="0.2">
      <c r="C28" s="3" t="s">
        <v>116</v>
      </c>
      <c r="K28" s="79"/>
      <c r="P28" s="3" t="s">
        <v>28</v>
      </c>
      <c r="X28" s="13">
        <f>K29</f>
        <v>2.2321428571428572</v>
      </c>
    </row>
    <row r="29" spans="2:70" ht="14.25" customHeight="1" x14ac:dyDescent="0.2">
      <c r="D29" s="3" t="s">
        <v>129</v>
      </c>
      <c r="K29" s="74">
        <v>2.2321428571428572</v>
      </c>
      <c r="M29" s="34"/>
      <c r="P29" s="9"/>
    </row>
    <row r="30" spans="2:70" ht="14.25" customHeight="1" x14ac:dyDescent="0.2">
      <c r="E30" s="3" t="s">
        <v>130</v>
      </c>
      <c r="K30" s="74"/>
      <c r="M30" s="34"/>
      <c r="P30" s="3" t="s">
        <v>26</v>
      </c>
      <c r="X30" s="13">
        <f>+X15*K33</f>
        <v>12.098765432098766</v>
      </c>
    </row>
    <row r="31" spans="2:70" ht="13.5" customHeight="1" x14ac:dyDescent="0.2">
      <c r="M31" s="34"/>
      <c r="P31" s="3" t="s">
        <v>27</v>
      </c>
      <c r="X31" s="13">
        <f>+X15*K34</f>
        <v>0</v>
      </c>
    </row>
    <row r="32" spans="2:70" ht="13.5" customHeight="1" x14ac:dyDescent="0.2">
      <c r="C32" s="3" t="s">
        <v>6</v>
      </c>
      <c r="K32" s="79"/>
      <c r="P32" s="3" t="s">
        <v>29</v>
      </c>
      <c r="X32" s="13">
        <f>(X15*K35)</f>
        <v>65.925925925925938</v>
      </c>
    </row>
    <row r="33" spans="2:70" ht="13.5" customHeight="1" x14ac:dyDescent="0.2">
      <c r="D33" s="3" t="s">
        <v>7</v>
      </c>
      <c r="K33" s="82">
        <v>0.49</v>
      </c>
      <c r="P33" s="3" t="s">
        <v>30</v>
      </c>
      <c r="X33" s="19">
        <f>+X25</f>
        <v>0</v>
      </c>
    </row>
    <row r="34" spans="2:70" ht="11.25" customHeight="1" x14ac:dyDescent="0.2">
      <c r="D34" s="3" t="s">
        <v>8</v>
      </c>
      <c r="K34" s="83">
        <v>0</v>
      </c>
    </row>
    <row r="35" spans="2:70" ht="12.75" customHeight="1" x14ac:dyDescent="0.2">
      <c r="D35" s="3" t="s">
        <v>9</v>
      </c>
      <c r="K35" s="79">
        <v>2.67</v>
      </c>
      <c r="Q35" s="47" t="s">
        <v>87</v>
      </c>
      <c r="R35" s="48"/>
      <c r="S35" s="48"/>
      <c r="T35" s="48"/>
      <c r="U35" s="48"/>
      <c r="V35" s="48"/>
      <c r="W35" s="48"/>
      <c r="X35" s="49">
        <f>SUM(X28:X33)</f>
        <v>80.256834215167558</v>
      </c>
    </row>
    <row r="36" spans="2:70" s="40" customFormat="1" x14ac:dyDescent="0.2">
      <c r="K36" s="84"/>
      <c r="M36" s="41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</row>
    <row r="37" spans="2:70" x14ac:dyDescent="0.2">
      <c r="B37" s="12" t="s">
        <v>118</v>
      </c>
      <c r="K37" s="79"/>
      <c r="O37" s="12" t="s">
        <v>149</v>
      </c>
    </row>
    <row r="38" spans="2:70" x14ac:dyDescent="0.2">
      <c r="C38" s="3" t="s">
        <v>97</v>
      </c>
      <c r="K38" s="85">
        <v>0</v>
      </c>
      <c r="M38" s="35"/>
      <c r="O38" s="12"/>
      <c r="P38" s="3" t="s">
        <v>32</v>
      </c>
      <c r="X38" s="13">
        <f>+X15*K41</f>
        <v>123.45679012345681</v>
      </c>
    </row>
    <row r="39" spans="2:70" ht="18" customHeight="1" x14ac:dyDescent="0.2">
      <c r="D39" s="3" t="s">
        <v>70</v>
      </c>
      <c r="K39" s="86"/>
      <c r="M39" s="36"/>
      <c r="O39" s="12"/>
      <c r="P39" s="3" t="s">
        <v>30</v>
      </c>
      <c r="X39" s="19">
        <f>+X25</f>
        <v>0</v>
      </c>
    </row>
    <row r="40" spans="2:70" x14ac:dyDescent="0.2">
      <c r="D40" s="3" t="s">
        <v>71</v>
      </c>
      <c r="K40" s="86">
        <f>+K38/10</f>
        <v>0</v>
      </c>
      <c r="O40" s="12"/>
      <c r="P40" s="3" t="s">
        <v>104</v>
      </c>
      <c r="X40" s="13">
        <f>SUM(X38:X39)</f>
        <v>123.45679012345681</v>
      </c>
    </row>
    <row r="41" spans="2:70" x14ac:dyDescent="0.2">
      <c r="C41" s="3" t="s">
        <v>72</v>
      </c>
      <c r="K41" s="87">
        <v>5</v>
      </c>
      <c r="O41" s="12"/>
      <c r="P41" s="3" t="s">
        <v>155</v>
      </c>
      <c r="X41" s="21">
        <f>+K40</f>
        <v>0</v>
      </c>
    </row>
    <row r="42" spans="2:70" x14ac:dyDescent="0.2">
      <c r="C42" s="3" t="s">
        <v>10</v>
      </c>
      <c r="K42" s="87">
        <v>1</v>
      </c>
      <c r="O42" s="12"/>
      <c r="Q42" s="47" t="s">
        <v>89</v>
      </c>
      <c r="R42" s="48"/>
      <c r="S42" s="48"/>
      <c r="T42" s="48"/>
      <c r="U42" s="48"/>
      <c r="V42" s="48"/>
      <c r="W42" s="48"/>
      <c r="X42" s="49">
        <f>+X40*X41</f>
        <v>0</v>
      </c>
    </row>
    <row r="43" spans="2:70" s="40" customFormat="1" x14ac:dyDescent="0.2">
      <c r="K43" s="88"/>
      <c r="M43" s="41"/>
      <c r="O43" s="42"/>
      <c r="Q43" s="42"/>
      <c r="X43" s="44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</row>
    <row r="44" spans="2:70" x14ac:dyDescent="0.2">
      <c r="B44" s="12" t="s">
        <v>117</v>
      </c>
      <c r="K44" s="87"/>
      <c r="O44" s="12" t="s">
        <v>165</v>
      </c>
      <c r="Q44" s="12"/>
      <c r="X44" s="13"/>
    </row>
    <row r="45" spans="2:70" ht="15.75" customHeight="1" x14ac:dyDescent="0.2">
      <c r="C45" s="3" t="s">
        <v>131</v>
      </c>
      <c r="K45" s="89">
        <v>0</v>
      </c>
      <c r="M45" s="34"/>
      <c r="P45" s="3" t="s">
        <v>32</v>
      </c>
      <c r="X45" s="13">
        <f>X15*K45</f>
        <v>0</v>
      </c>
    </row>
    <row r="46" spans="2:70" x14ac:dyDescent="0.2">
      <c r="D46" s="3" t="s">
        <v>145</v>
      </c>
      <c r="K46" s="90"/>
      <c r="M46" s="34"/>
      <c r="P46" s="3" t="s">
        <v>140</v>
      </c>
      <c r="X46" s="13">
        <f>X45</f>
        <v>0</v>
      </c>
    </row>
    <row r="47" spans="2:70" x14ac:dyDescent="0.2">
      <c r="C47" s="31"/>
      <c r="D47" s="3" t="s">
        <v>132</v>
      </c>
      <c r="K47" s="91">
        <f>K45/5</f>
        <v>0</v>
      </c>
      <c r="M47" s="34"/>
      <c r="P47" s="3" t="s">
        <v>156</v>
      </c>
      <c r="X47" s="21">
        <f>K47</f>
        <v>0</v>
      </c>
    </row>
    <row r="48" spans="2:70" x14ac:dyDescent="0.2">
      <c r="C48" s="3" t="s">
        <v>133</v>
      </c>
      <c r="K48" s="90">
        <v>2</v>
      </c>
      <c r="M48" s="34"/>
      <c r="O48" s="50"/>
      <c r="Q48" s="47" t="s">
        <v>89</v>
      </c>
      <c r="R48" s="48"/>
      <c r="S48" s="48"/>
      <c r="T48" s="48"/>
      <c r="U48" s="48"/>
      <c r="V48" s="48"/>
      <c r="W48" s="48"/>
      <c r="X48" s="49">
        <f>+X46*X47</f>
        <v>0</v>
      </c>
    </row>
    <row r="49" spans="2:70" s="40" customFormat="1" x14ac:dyDescent="0.2">
      <c r="C49" s="51"/>
      <c r="K49" s="88"/>
      <c r="M49" s="52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</row>
    <row r="50" spans="2:70" x14ac:dyDescent="0.2">
      <c r="B50" s="12" t="s">
        <v>103</v>
      </c>
      <c r="K50" s="79"/>
      <c r="O50" s="12" t="s">
        <v>150</v>
      </c>
    </row>
    <row r="51" spans="2:70" x14ac:dyDescent="0.2">
      <c r="C51" s="3" t="s">
        <v>11</v>
      </c>
      <c r="K51" s="75">
        <v>1</v>
      </c>
      <c r="P51" s="3" t="s">
        <v>32</v>
      </c>
      <c r="X51" s="13">
        <f>(X15*K51)</f>
        <v>24.691358024691361</v>
      </c>
    </row>
    <row r="52" spans="2:70" x14ac:dyDescent="0.2">
      <c r="C52" s="3" t="s">
        <v>141</v>
      </c>
      <c r="K52" s="100">
        <v>5</v>
      </c>
      <c r="P52" s="3" t="s">
        <v>31</v>
      </c>
      <c r="X52" s="19">
        <f>+K52</f>
        <v>5</v>
      </c>
    </row>
    <row r="53" spans="2:70" x14ac:dyDescent="0.2">
      <c r="K53" s="79"/>
      <c r="Q53" s="47" t="s">
        <v>88</v>
      </c>
      <c r="R53" s="48"/>
      <c r="S53" s="48"/>
      <c r="T53" s="48"/>
      <c r="U53" s="48"/>
      <c r="V53" s="48"/>
      <c r="W53" s="48"/>
      <c r="X53" s="49">
        <f>SUM(X51:X52)</f>
        <v>29.691358024691361</v>
      </c>
    </row>
    <row r="54" spans="2:70" s="40" customFormat="1" x14ac:dyDescent="0.2">
      <c r="K54" s="78"/>
      <c r="M54" s="41"/>
      <c r="Q54" s="42"/>
      <c r="X54" s="44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</row>
    <row r="55" spans="2:70" x14ac:dyDescent="0.2">
      <c r="B55" s="12" t="s">
        <v>119</v>
      </c>
      <c r="K55" s="87"/>
      <c r="M55" s="35"/>
      <c r="O55" s="12" t="s">
        <v>151</v>
      </c>
    </row>
    <row r="56" spans="2:70" x14ac:dyDescent="0.2">
      <c r="C56" s="3" t="s">
        <v>101</v>
      </c>
      <c r="K56" s="87"/>
      <c r="P56" s="3" t="s">
        <v>32</v>
      </c>
      <c r="X56" s="124">
        <f>(X15*K58)*K57</f>
        <v>0</v>
      </c>
    </row>
    <row r="57" spans="2:70" x14ac:dyDescent="0.2">
      <c r="D57" s="3" t="s">
        <v>100</v>
      </c>
      <c r="K57" s="85">
        <v>0</v>
      </c>
      <c r="P57" s="3" t="s">
        <v>144</v>
      </c>
      <c r="X57" s="125">
        <f>K59*K57</f>
        <v>0</v>
      </c>
    </row>
    <row r="58" spans="2:70" x14ac:dyDescent="0.2">
      <c r="C58" s="3" t="s">
        <v>143</v>
      </c>
      <c r="K58" s="109">
        <v>2</v>
      </c>
      <c r="Q58" s="60"/>
      <c r="R58" s="50"/>
      <c r="S58" s="50"/>
      <c r="T58" s="50"/>
      <c r="U58" s="50"/>
      <c r="V58" s="50"/>
      <c r="W58" s="50"/>
      <c r="X58" s="55"/>
    </row>
    <row r="59" spans="2:70" x14ac:dyDescent="0.2">
      <c r="C59" s="3" t="s">
        <v>142</v>
      </c>
      <c r="K59" s="100">
        <v>5</v>
      </c>
      <c r="Q59" s="47" t="s">
        <v>146</v>
      </c>
      <c r="R59" s="48"/>
      <c r="S59" s="48"/>
      <c r="T59" s="48"/>
      <c r="U59" s="48"/>
      <c r="V59" s="48"/>
      <c r="W59" s="48"/>
      <c r="X59" s="49">
        <f>SUM(X56:X57)</f>
        <v>0</v>
      </c>
    </row>
    <row r="60" spans="2:70" s="40" customFormat="1" x14ac:dyDescent="0.2">
      <c r="C60" s="51"/>
      <c r="K60" s="108"/>
      <c r="M60" s="41"/>
      <c r="Q60" s="42"/>
      <c r="X60" s="44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</row>
    <row r="61" spans="2:70" x14ac:dyDescent="0.2">
      <c r="B61" s="12" t="s">
        <v>160</v>
      </c>
      <c r="C61" s="31"/>
      <c r="K61" s="109"/>
      <c r="O61" s="12" t="s">
        <v>152</v>
      </c>
      <c r="Q61" s="60"/>
      <c r="R61" s="50"/>
      <c r="S61" s="50"/>
      <c r="T61" s="50"/>
      <c r="U61" s="50"/>
      <c r="V61" s="50"/>
      <c r="W61" s="50"/>
      <c r="X61" s="55"/>
    </row>
    <row r="62" spans="2:70" x14ac:dyDescent="0.2">
      <c r="C62" s="3" t="s">
        <v>161</v>
      </c>
      <c r="K62" s="110">
        <v>0</v>
      </c>
      <c r="P62" s="3" t="s">
        <v>32</v>
      </c>
      <c r="Q62" s="60"/>
      <c r="R62" s="50"/>
      <c r="S62" s="50"/>
      <c r="T62" s="50"/>
      <c r="U62" s="50"/>
      <c r="V62" s="50"/>
      <c r="W62" s="50"/>
      <c r="X62" s="124">
        <f>(X15 *K64)*K62</f>
        <v>0</v>
      </c>
    </row>
    <row r="63" spans="2:70" x14ac:dyDescent="0.2">
      <c r="D63" s="3" t="s">
        <v>162</v>
      </c>
      <c r="K63" s="129">
        <f>K62/10</f>
        <v>0</v>
      </c>
      <c r="P63" s="3" t="s">
        <v>155</v>
      </c>
      <c r="Q63" s="31"/>
      <c r="R63" s="31"/>
      <c r="S63" s="31"/>
      <c r="T63" s="31"/>
      <c r="U63" s="31"/>
      <c r="V63" s="111"/>
      <c r="W63" s="111"/>
      <c r="X63" s="130">
        <f>K63</f>
        <v>0</v>
      </c>
    </row>
    <row r="64" spans="2:70" x14ac:dyDescent="0.2">
      <c r="C64" s="3" t="s">
        <v>163</v>
      </c>
      <c r="K64" s="109">
        <v>10</v>
      </c>
      <c r="Q64" s="60"/>
      <c r="R64" s="50"/>
      <c r="S64" s="50"/>
      <c r="T64" s="50"/>
      <c r="U64" s="50"/>
      <c r="V64" s="50"/>
      <c r="W64" s="50"/>
      <c r="X64" s="55"/>
    </row>
    <row r="65" spans="2:70" x14ac:dyDescent="0.2">
      <c r="K65" s="109"/>
      <c r="Q65" s="47" t="s">
        <v>147</v>
      </c>
      <c r="R65" s="48"/>
      <c r="S65" s="48"/>
      <c r="T65" s="48"/>
      <c r="U65" s="48"/>
      <c r="V65" s="48"/>
      <c r="W65" s="48"/>
      <c r="X65" s="49">
        <f>X62*X63</f>
        <v>0</v>
      </c>
    </row>
    <row r="66" spans="2:70" s="40" customFormat="1" x14ac:dyDescent="0.2">
      <c r="B66" s="42"/>
      <c r="K66" s="78"/>
      <c r="M66" s="41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  <c r="BN66" s="50"/>
      <c r="BO66" s="50"/>
      <c r="BP66" s="50"/>
      <c r="BQ66" s="50"/>
      <c r="BR66" s="50"/>
    </row>
    <row r="67" spans="2:70" s="50" customFormat="1" ht="12" customHeight="1" x14ac:dyDescent="0.2">
      <c r="B67" s="12" t="s">
        <v>166</v>
      </c>
      <c r="K67" s="96"/>
      <c r="M67" s="56"/>
      <c r="O67" s="12" t="s">
        <v>167</v>
      </c>
      <c r="P67" s="3"/>
      <c r="Q67" s="60"/>
      <c r="X67" s="55"/>
    </row>
    <row r="68" spans="2:70" s="50" customFormat="1" ht="12" customHeight="1" x14ac:dyDescent="0.2">
      <c r="B68" s="60"/>
      <c r="C68" s="3" t="s">
        <v>171</v>
      </c>
      <c r="D68" s="3"/>
      <c r="E68" s="3"/>
      <c r="F68" s="3"/>
      <c r="G68" s="3"/>
      <c r="H68" s="3"/>
      <c r="I68" s="3"/>
      <c r="J68" s="3"/>
      <c r="K68" s="110">
        <v>0</v>
      </c>
      <c r="M68" s="56"/>
      <c r="O68" s="3"/>
      <c r="P68" s="3" t="s">
        <v>32</v>
      </c>
      <c r="Q68" s="60"/>
      <c r="X68" s="124">
        <f>(X15 *K70)*K68</f>
        <v>0</v>
      </c>
    </row>
    <row r="69" spans="2:70" s="50" customFormat="1" ht="12" customHeight="1" x14ac:dyDescent="0.2">
      <c r="B69" s="60"/>
      <c r="C69" s="3"/>
      <c r="D69" s="3" t="s">
        <v>169</v>
      </c>
      <c r="E69" s="3"/>
      <c r="F69" s="3"/>
      <c r="G69" s="3"/>
      <c r="H69" s="3"/>
      <c r="I69" s="3"/>
      <c r="J69" s="3"/>
      <c r="K69" s="129">
        <f>IF(K68&lt;1,0,0.2)</f>
        <v>0</v>
      </c>
      <c r="M69" s="56"/>
      <c r="O69" s="3"/>
      <c r="P69" s="3" t="s">
        <v>172</v>
      </c>
      <c r="Q69" s="31"/>
      <c r="R69" s="31"/>
      <c r="S69" s="31"/>
      <c r="T69" s="31"/>
      <c r="U69" s="31"/>
      <c r="V69" s="111"/>
      <c r="W69" s="111"/>
      <c r="X69" s="130">
        <f>K69</f>
        <v>0</v>
      </c>
    </row>
    <row r="70" spans="2:70" s="50" customFormat="1" ht="12" customHeight="1" x14ac:dyDescent="0.2">
      <c r="B70" s="60"/>
      <c r="C70" s="3" t="s">
        <v>170</v>
      </c>
      <c r="D70" s="3"/>
      <c r="E70" s="3"/>
      <c r="F70" s="3"/>
      <c r="G70" s="3"/>
      <c r="H70" s="3"/>
      <c r="I70" s="3"/>
      <c r="J70" s="3"/>
      <c r="K70" s="109">
        <v>10</v>
      </c>
      <c r="M70" s="56"/>
      <c r="O70" s="3"/>
      <c r="P70" s="3"/>
      <c r="Q70" s="60"/>
      <c r="X70" s="55"/>
    </row>
    <row r="71" spans="2:70" s="50" customFormat="1" ht="12" customHeight="1" x14ac:dyDescent="0.2">
      <c r="B71" s="60"/>
      <c r="C71" s="3"/>
      <c r="D71" s="3"/>
      <c r="E71" s="3"/>
      <c r="F71" s="3"/>
      <c r="G71" s="3"/>
      <c r="H71" s="3"/>
      <c r="I71" s="3"/>
      <c r="J71" s="3"/>
      <c r="K71" s="109"/>
      <c r="M71" s="56"/>
      <c r="O71" s="3"/>
      <c r="P71" s="3"/>
      <c r="Q71" s="47" t="s">
        <v>168</v>
      </c>
      <c r="R71" s="48"/>
      <c r="S71" s="48"/>
      <c r="T71" s="48"/>
      <c r="U71" s="48"/>
      <c r="V71" s="48"/>
      <c r="W71" s="48"/>
      <c r="X71" s="49">
        <f>X68*X69</f>
        <v>0</v>
      </c>
    </row>
    <row r="72" spans="2:70" s="40" customFormat="1" ht="12" customHeight="1" x14ac:dyDescent="0.2">
      <c r="B72" s="42"/>
      <c r="K72" s="78"/>
      <c r="M72" s="41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  <c r="BN72" s="50"/>
      <c r="BO72" s="50"/>
      <c r="BP72" s="50"/>
      <c r="BQ72" s="50"/>
      <c r="BR72" s="50"/>
    </row>
    <row r="73" spans="2:70" x14ac:dyDescent="0.2">
      <c r="B73" s="12" t="s">
        <v>154</v>
      </c>
      <c r="K73" s="79"/>
      <c r="O73" s="12" t="s">
        <v>153</v>
      </c>
      <c r="Y73" s="56"/>
    </row>
    <row r="74" spans="2:70" ht="15.75" customHeight="1" x14ac:dyDescent="0.2">
      <c r="C74" s="3" t="s">
        <v>12</v>
      </c>
      <c r="K74" s="79"/>
      <c r="M74" s="37"/>
      <c r="P74" s="3" t="s">
        <v>33</v>
      </c>
      <c r="X74" s="13">
        <f>+X15*K77</f>
        <v>493.82716049382725</v>
      </c>
      <c r="Y74" s="56"/>
    </row>
    <row r="75" spans="2:70" ht="11.25" customHeight="1" x14ac:dyDescent="0.2">
      <c r="D75" s="3" t="s">
        <v>13</v>
      </c>
      <c r="K75" s="75">
        <v>1</v>
      </c>
      <c r="P75" s="3" t="s">
        <v>30</v>
      </c>
      <c r="X75" s="19">
        <f>+X25</f>
        <v>0</v>
      </c>
      <c r="Y75" s="56"/>
    </row>
    <row r="76" spans="2:70" x14ac:dyDescent="0.2">
      <c r="E76" s="3" t="s">
        <v>14</v>
      </c>
      <c r="K76" s="86">
        <f>+K75/20</f>
        <v>0.05</v>
      </c>
      <c r="Q76" s="3" t="s">
        <v>120</v>
      </c>
      <c r="X76" s="13">
        <f>SUM(X74:X75)</f>
        <v>493.82716049382725</v>
      </c>
      <c r="Y76" s="56"/>
    </row>
    <row r="77" spans="2:70" ht="11.25" customHeight="1" x14ac:dyDescent="0.2">
      <c r="D77" s="3" t="s">
        <v>110</v>
      </c>
      <c r="K77" s="92">
        <v>20</v>
      </c>
      <c r="M77" s="34"/>
      <c r="P77" s="3" t="s">
        <v>34</v>
      </c>
      <c r="X77" s="30">
        <f>(K76+(K76*K57*0.5))</f>
        <v>0.05</v>
      </c>
      <c r="Y77" s="38"/>
    </row>
    <row r="78" spans="2:70" ht="12" customHeight="1" x14ac:dyDescent="0.2">
      <c r="D78" s="3" t="s">
        <v>109</v>
      </c>
      <c r="K78" s="92">
        <v>1</v>
      </c>
      <c r="M78" s="34"/>
      <c r="Q78" s="47" t="s">
        <v>157</v>
      </c>
      <c r="R78" s="47"/>
      <c r="S78" s="48"/>
      <c r="T78" s="48"/>
      <c r="U78" s="48"/>
      <c r="V78" s="48"/>
      <c r="W78" s="48"/>
      <c r="X78" s="54">
        <f>+X76*X77</f>
        <v>24.691358024691365</v>
      </c>
      <c r="Y78" s="56"/>
    </row>
    <row r="79" spans="2:70" s="40" customFormat="1" x14ac:dyDescent="0.2">
      <c r="K79" s="93"/>
      <c r="M79" s="41"/>
      <c r="Q79" s="42"/>
      <c r="R79" s="42"/>
      <c r="X79" s="53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  <c r="BM79" s="50"/>
      <c r="BN79" s="50"/>
      <c r="BO79" s="50"/>
      <c r="BP79" s="50"/>
      <c r="BQ79" s="50"/>
      <c r="BR79" s="50"/>
    </row>
    <row r="80" spans="2:70" s="48" customFormat="1" ht="18.75" customHeight="1" x14ac:dyDescent="0.3">
      <c r="K80" s="94"/>
      <c r="M80" s="62"/>
      <c r="O80" s="112" t="s">
        <v>35</v>
      </c>
      <c r="X80" s="113">
        <f>SUM(X35+X42+X48+X53+X59+X65+X71+X78)</f>
        <v>134.63955026455028</v>
      </c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0"/>
      <c r="BN80" s="50"/>
      <c r="BO80" s="50"/>
      <c r="BP80" s="50"/>
      <c r="BQ80" s="50"/>
      <c r="BR80" s="50"/>
    </row>
    <row r="81" spans="1:70" ht="18.75" x14ac:dyDescent="0.3">
      <c r="B81" s="6" t="s">
        <v>179</v>
      </c>
      <c r="C81" s="12"/>
      <c r="D81" s="12"/>
      <c r="E81" s="12"/>
      <c r="F81" s="12"/>
      <c r="G81" s="12"/>
      <c r="H81" s="12"/>
      <c r="I81" s="12"/>
      <c r="J81" s="12"/>
      <c r="K81" s="95"/>
      <c r="M81" s="39"/>
    </row>
    <row r="82" spans="1:70" s="50" customFormat="1" ht="12.75" customHeight="1" x14ac:dyDescent="0.2">
      <c r="B82" s="60" t="s">
        <v>175</v>
      </c>
      <c r="K82" s="96"/>
      <c r="M82" s="56"/>
      <c r="N82" s="40"/>
      <c r="O82" s="60" t="s">
        <v>176</v>
      </c>
    </row>
    <row r="83" spans="1:70" s="50" customFormat="1" x14ac:dyDescent="0.2">
      <c r="C83" s="61" t="s">
        <v>83</v>
      </c>
      <c r="K83" s="96"/>
      <c r="M83" s="56"/>
      <c r="N83" s="40"/>
      <c r="P83" s="3" t="s">
        <v>36</v>
      </c>
      <c r="Q83" s="3"/>
      <c r="R83" s="3"/>
      <c r="S83" s="3"/>
      <c r="T83" s="3"/>
      <c r="U83" s="3"/>
      <c r="V83" s="3"/>
      <c r="W83" s="3"/>
      <c r="X83" s="13">
        <f>+X80</f>
        <v>134.63955026455028</v>
      </c>
    </row>
    <row r="84" spans="1:70" s="50" customFormat="1" ht="16.5" customHeight="1" x14ac:dyDescent="0.2">
      <c r="A84" s="3"/>
      <c r="B84" s="3"/>
      <c r="C84" s="3" t="s">
        <v>75</v>
      </c>
      <c r="D84" s="3"/>
      <c r="E84" s="3"/>
      <c r="F84" s="3"/>
      <c r="G84" s="3"/>
      <c r="H84" s="3"/>
      <c r="I84" s="3"/>
      <c r="J84" s="3"/>
      <c r="K84" s="105">
        <f>+R147</f>
        <v>4.7549999999999995E-2</v>
      </c>
      <c r="L84" s="3"/>
      <c r="M84" s="34" t="s">
        <v>112</v>
      </c>
      <c r="N84" s="40"/>
      <c r="P84" s="12" t="s">
        <v>90</v>
      </c>
      <c r="Q84" s="3"/>
      <c r="R84" s="3"/>
      <c r="S84" s="3"/>
      <c r="T84" s="3"/>
      <c r="U84" s="3"/>
      <c r="V84" s="3"/>
      <c r="W84" s="3"/>
      <c r="X84" s="3"/>
    </row>
    <row r="85" spans="1:70" ht="15.75" customHeight="1" x14ac:dyDescent="0.2">
      <c r="C85" s="3" t="s">
        <v>76</v>
      </c>
      <c r="K85" s="105">
        <f>+T147</f>
        <v>2.2398442963878128E-2</v>
      </c>
      <c r="M85" s="34" t="s">
        <v>112</v>
      </c>
      <c r="Q85" s="3" t="s">
        <v>37</v>
      </c>
      <c r="X85" s="22">
        <f>+K86</f>
        <v>2.5151557036121867E-2</v>
      </c>
    </row>
    <row r="86" spans="1:70" ht="16.5" customHeight="1" x14ac:dyDescent="0.2">
      <c r="D86" s="3" t="s">
        <v>18</v>
      </c>
      <c r="K86" s="105">
        <f>+K84-K85</f>
        <v>2.5151557036121867E-2</v>
      </c>
      <c r="M86" s="34" t="s">
        <v>112</v>
      </c>
    </row>
    <row r="87" spans="1:70" s="63" customFormat="1" ht="13.5" customHeight="1" x14ac:dyDescent="0.25">
      <c r="C87" s="64"/>
      <c r="D87" s="64"/>
      <c r="E87" s="64"/>
      <c r="F87" s="64"/>
      <c r="G87" s="64"/>
      <c r="H87" s="64"/>
      <c r="I87" s="64"/>
      <c r="J87" s="64"/>
      <c r="K87" s="97"/>
      <c r="M87" s="65"/>
      <c r="O87" s="63" t="s">
        <v>174</v>
      </c>
      <c r="X87" s="66">
        <f>+X83/X85</f>
        <v>5353.1298309359236</v>
      </c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68"/>
      <c r="BR87" s="68"/>
    </row>
    <row r="88" spans="1:70" s="68" customFormat="1" ht="13.5" customHeight="1" x14ac:dyDescent="0.25">
      <c r="C88" s="69"/>
      <c r="D88" s="69"/>
      <c r="E88" s="69"/>
      <c r="F88" s="69"/>
      <c r="G88" s="69"/>
      <c r="H88" s="69"/>
      <c r="I88" s="69"/>
      <c r="J88" s="69"/>
      <c r="K88" s="98"/>
      <c r="M88" s="70"/>
      <c r="X88" s="71"/>
    </row>
    <row r="89" spans="1:70" ht="18.75" x14ac:dyDescent="0.3">
      <c r="B89" s="6" t="s">
        <v>123</v>
      </c>
    </row>
    <row r="90" spans="1:70" ht="15" customHeight="1" x14ac:dyDescent="0.3">
      <c r="B90" s="6"/>
      <c r="C90" s="61" t="s">
        <v>91</v>
      </c>
      <c r="D90" s="126"/>
      <c r="E90" s="126"/>
      <c r="F90" s="50"/>
      <c r="G90" s="50"/>
      <c r="H90" s="50"/>
      <c r="I90" s="50"/>
      <c r="J90" s="50"/>
      <c r="K90" s="101"/>
    </row>
    <row r="91" spans="1:70" ht="15" customHeight="1" x14ac:dyDescent="0.3">
      <c r="B91" s="6"/>
      <c r="C91" s="127" t="s">
        <v>38</v>
      </c>
      <c r="D91" s="50"/>
      <c r="E91" s="126"/>
      <c r="F91" s="50"/>
      <c r="G91" s="50"/>
      <c r="H91" s="50"/>
      <c r="I91" s="50"/>
      <c r="J91" s="50"/>
      <c r="K91" s="101"/>
    </row>
    <row r="92" spans="1:70" ht="15" customHeight="1" x14ac:dyDescent="0.3">
      <c r="B92" s="6"/>
      <c r="C92" s="127" t="s">
        <v>39</v>
      </c>
      <c r="D92" s="50"/>
      <c r="E92" s="126"/>
      <c r="F92" s="50"/>
      <c r="G92" s="50"/>
      <c r="H92" s="50"/>
      <c r="I92" s="50"/>
      <c r="J92" s="50"/>
      <c r="K92" s="101"/>
    </row>
    <row r="93" spans="1:70" ht="15" customHeight="1" x14ac:dyDescent="0.3">
      <c r="B93" s="6"/>
      <c r="C93" s="127" t="s">
        <v>40</v>
      </c>
      <c r="D93" s="50"/>
      <c r="E93" s="126"/>
      <c r="F93" s="50"/>
      <c r="G93" s="50"/>
      <c r="H93" s="50"/>
      <c r="I93" s="50"/>
      <c r="J93" s="50"/>
      <c r="K93" s="101"/>
    </row>
    <row r="94" spans="1:70" ht="15" customHeight="1" x14ac:dyDescent="0.3">
      <c r="B94" s="6"/>
      <c r="C94" s="127" t="s">
        <v>79</v>
      </c>
      <c r="D94" s="50"/>
      <c r="E94" s="126"/>
      <c r="F94" s="50"/>
      <c r="G94" s="50"/>
      <c r="H94" s="50"/>
      <c r="I94" s="50"/>
      <c r="J94" s="50"/>
      <c r="K94" s="101"/>
    </row>
    <row r="95" spans="1:70" ht="15" customHeight="1" x14ac:dyDescent="0.3">
      <c r="B95" s="6"/>
      <c r="C95" s="127" t="s">
        <v>78</v>
      </c>
      <c r="D95" s="50"/>
      <c r="E95" s="126"/>
      <c r="F95" s="50"/>
      <c r="G95" s="50"/>
      <c r="H95" s="50"/>
      <c r="I95" s="50"/>
      <c r="J95" s="50"/>
      <c r="K95" s="101"/>
    </row>
    <row r="96" spans="1:70" ht="18.75" x14ac:dyDescent="0.3">
      <c r="B96" s="6"/>
    </row>
    <row r="97" spans="1:70" s="50" customFormat="1" x14ac:dyDescent="0.2">
      <c r="A97" s="3"/>
      <c r="B97" s="12" t="s">
        <v>124</v>
      </c>
      <c r="C97" s="12"/>
      <c r="D97" s="12"/>
      <c r="E97" s="12"/>
      <c r="F97" s="12"/>
      <c r="G97" s="12"/>
      <c r="H97" s="3"/>
      <c r="I97" s="3"/>
      <c r="J97" s="3"/>
      <c r="K97" s="79"/>
      <c r="L97" s="3"/>
      <c r="M97" s="33"/>
      <c r="N97" s="40"/>
      <c r="O97" s="12" t="s">
        <v>124</v>
      </c>
      <c r="Q97" s="60"/>
      <c r="R97" s="60"/>
      <c r="X97" s="58"/>
    </row>
    <row r="98" spans="1:70" x14ac:dyDescent="0.2">
      <c r="B98" s="12"/>
      <c r="C98" s="10" t="s">
        <v>82</v>
      </c>
      <c r="D98" s="12"/>
      <c r="E98" s="12"/>
      <c r="F98" s="12"/>
      <c r="G98" s="12"/>
      <c r="K98" s="79"/>
    </row>
    <row r="99" spans="1:70" x14ac:dyDescent="0.2">
      <c r="A99" s="50"/>
      <c r="B99" s="50"/>
      <c r="C99" s="57" t="s">
        <v>105</v>
      </c>
      <c r="D99" s="57"/>
      <c r="E99" s="57"/>
      <c r="F99" s="57"/>
      <c r="G99" s="57"/>
      <c r="H99" s="57"/>
      <c r="I99" s="57"/>
      <c r="J99" s="57"/>
      <c r="K99" s="99">
        <v>60</v>
      </c>
      <c r="L99" s="50"/>
      <c r="M99" s="56"/>
    </row>
    <row r="100" spans="1:70" x14ac:dyDescent="0.2">
      <c r="A100" s="50"/>
      <c r="B100" s="50"/>
      <c r="C100" s="57" t="s">
        <v>111</v>
      </c>
      <c r="D100" s="57"/>
      <c r="E100" s="57"/>
      <c r="F100" s="57"/>
      <c r="G100" s="57"/>
      <c r="H100" s="57"/>
      <c r="I100" s="57"/>
      <c r="J100" s="57"/>
      <c r="K100" s="99">
        <v>60</v>
      </c>
      <c r="L100" s="50"/>
      <c r="M100" s="56"/>
      <c r="O100" s="50"/>
      <c r="P100" s="50" t="s">
        <v>121</v>
      </c>
      <c r="Q100" s="50"/>
      <c r="R100" s="50"/>
      <c r="S100" s="50"/>
      <c r="T100" s="50"/>
      <c r="U100" s="50"/>
      <c r="V100" s="50"/>
      <c r="W100" s="50"/>
      <c r="X100" s="59">
        <v>60</v>
      </c>
    </row>
    <row r="101" spans="1:70" x14ac:dyDescent="0.2">
      <c r="B101" s="12"/>
      <c r="C101" s="12"/>
      <c r="D101" s="12"/>
      <c r="E101" s="12"/>
      <c r="F101" s="12"/>
      <c r="G101" s="12"/>
      <c r="K101" s="79"/>
      <c r="P101" s="3" t="s">
        <v>158</v>
      </c>
      <c r="X101" s="16">
        <f>(K57*60)</f>
        <v>0</v>
      </c>
    </row>
    <row r="102" spans="1:70" x14ac:dyDescent="0.2">
      <c r="C102" s="3" t="s">
        <v>15</v>
      </c>
      <c r="K102" s="75">
        <v>60</v>
      </c>
      <c r="P102" s="3" t="s">
        <v>33</v>
      </c>
      <c r="X102" s="16">
        <f>X15*K102</f>
        <v>1481.4814814814818</v>
      </c>
    </row>
    <row r="103" spans="1:70" ht="12" customHeight="1" x14ac:dyDescent="0.2">
      <c r="C103" s="3" t="s">
        <v>16</v>
      </c>
      <c r="K103" s="74">
        <v>50000</v>
      </c>
      <c r="L103" s="33" t="s">
        <v>98</v>
      </c>
      <c r="M103" s="35"/>
      <c r="P103" s="3" t="s">
        <v>16</v>
      </c>
      <c r="X103" s="13">
        <v>50000</v>
      </c>
    </row>
    <row r="104" spans="1:70" ht="13.5" customHeight="1" x14ac:dyDescent="0.2">
      <c r="A104" s="50"/>
      <c r="B104" s="50"/>
      <c r="C104" s="50" t="s">
        <v>17</v>
      </c>
      <c r="D104" s="50"/>
      <c r="E104" s="50"/>
      <c r="F104" s="50"/>
      <c r="G104" s="50"/>
      <c r="H104" s="50"/>
      <c r="I104" s="50"/>
      <c r="J104" s="50"/>
      <c r="K104" s="100">
        <v>5000</v>
      </c>
      <c r="L104" s="33" t="s">
        <v>99</v>
      </c>
      <c r="M104" s="56"/>
      <c r="P104" s="50" t="s">
        <v>17</v>
      </c>
      <c r="Q104" s="50"/>
      <c r="R104" s="50"/>
      <c r="S104" s="50"/>
      <c r="T104" s="50"/>
      <c r="U104" s="50"/>
      <c r="V104" s="50"/>
      <c r="W104" s="50"/>
      <c r="X104" s="55">
        <v>5000</v>
      </c>
    </row>
    <row r="105" spans="1:70" s="50" customFormat="1" x14ac:dyDescent="0.2">
      <c r="K105" s="101"/>
      <c r="N105" s="40"/>
    </row>
    <row r="106" spans="1:70" s="50" customFormat="1" x14ac:dyDescent="0.2">
      <c r="A106" s="3"/>
      <c r="B106" s="12"/>
      <c r="C106" s="3"/>
      <c r="D106" s="3"/>
      <c r="E106" s="3"/>
      <c r="F106" s="3"/>
      <c r="G106" s="3"/>
      <c r="H106" s="3"/>
      <c r="I106" s="3"/>
      <c r="J106" s="3"/>
      <c r="K106" s="2"/>
      <c r="L106" s="3"/>
      <c r="M106" s="33"/>
      <c r="N106" s="40"/>
      <c r="P106" s="3"/>
      <c r="Q106" s="47" t="s">
        <v>92</v>
      </c>
      <c r="R106" s="48"/>
      <c r="S106" s="48"/>
      <c r="T106" s="48"/>
      <c r="U106" s="48"/>
      <c r="V106" s="48"/>
      <c r="W106" s="48"/>
      <c r="X106" s="49">
        <f>SUM(X100:X104)</f>
        <v>56541.481481481482</v>
      </c>
      <c r="Y106" s="56"/>
    </row>
    <row r="107" spans="1:70" x14ac:dyDescent="0.2">
      <c r="B107" s="12"/>
      <c r="P107" s="50"/>
      <c r="Q107" s="50"/>
      <c r="R107" s="50"/>
      <c r="S107" s="50"/>
      <c r="T107" s="50"/>
      <c r="U107" s="50"/>
      <c r="V107" s="50"/>
      <c r="W107" s="50"/>
      <c r="X107" s="50"/>
    </row>
    <row r="108" spans="1:70" x14ac:dyDescent="0.2">
      <c r="B108" s="12"/>
      <c r="O108" s="50"/>
      <c r="P108" s="50" t="s">
        <v>41</v>
      </c>
      <c r="Q108" s="50"/>
      <c r="R108" s="50"/>
      <c r="S108" s="50"/>
      <c r="T108" s="50"/>
      <c r="U108" s="50"/>
      <c r="V108" s="50"/>
      <c r="W108" s="50"/>
      <c r="X108" s="55">
        <v>60000</v>
      </c>
    </row>
    <row r="109" spans="1:70" x14ac:dyDescent="0.2">
      <c r="B109" s="12"/>
      <c r="O109" s="50"/>
      <c r="P109" s="50" t="s">
        <v>42</v>
      </c>
      <c r="Q109" s="50"/>
      <c r="R109" s="50"/>
      <c r="S109" s="50"/>
      <c r="T109" s="50"/>
      <c r="U109" s="50"/>
      <c r="V109" s="50"/>
      <c r="W109" s="50"/>
      <c r="X109" s="128">
        <v>30</v>
      </c>
      <c r="AA109" s="56"/>
    </row>
    <row r="110" spans="1:70" x14ac:dyDescent="0.2">
      <c r="B110" s="12"/>
      <c r="O110" s="50"/>
      <c r="Q110" s="47" t="s">
        <v>93</v>
      </c>
      <c r="R110" s="48"/>
      <c r="S110" s="48"/>
      <c r="T110" s="48"/>
      <c r="U110" s="48"/>
      <c r="V110" s="48"/>
      <c r="W110" s="48"/>
      <c r="X110" s="49">
        <f>(X108/X109)+(X108/X109*K57*0.5)</f>
        <v>2000</v>
      </c>
    </row>
    <row r="111" spans="1:70" s="40" customFormat="1" x14ac:dyDescent="0.2">
      <c r="K111" s="102"/>
      <c r="M111" s="41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  <c r="AS111" s="50"/>
      <c r="AT111" s="50"/>
      <c r="AU111" s="50"/>
      <c r="AV111" s="50"/>
      <c r="AW111" s="50"/>
      <c r="AX111" s="50"/>
      <c r="AY111" s="50"/>
      <c r="AZ111" s="50"/>
      <c r="BA111" s="50"/>
      <c r="BB111" s="50"/>
      <c r="BC111" s="50"/>
      <c r="BD111" s="50"/>
      <c r="BE111" s="50"/>
      <c r="BF111" s="50"/>
      <c r="BG111" s="50"/>
      <c r="BH111" s="50"/>
      <c r="BI111" s="50"/>
      <c r="BJ111" s="50"/>
      <c r="BK111" s="50"/>
      <c r="BL111" s="50"/>
      <c r="BM111" s="50"/>
      <c r="BN111" s="50"/>
      <c r="BO111" s="50"/>
      <c r="BP111" s="50"/>
      <c r="BQ111" s="50"/>
      <c r="BR111" s="50"/>
    </row>
    <row r="112" spans="1:70" ht="13.5" customHeight="1" x14ac:dyDescent="0.3">
      <c r="B112" s="6" t="s">
        <v>125</v>
      </c>
    </row>
    <row r="114" spans="3:70" x14ac:dyDescent="0.2">
      <c r="C114" s="3" t="s">
        <v>177</v>
      </c>
      <c r="K114" s="74">
        <f>+X87</f>
        <v>5353.1298309359236</v>
      </c>
    </row>
    <row r="115" spans="3:70" x14ac:dyDescent="0.2">
      <c r="C115" s="3" t="s">
        <v>43</v>
      </c>
      <c r="K115" s="103">
        <f>+X110</f>
        <v>2000</v>
      </c>
    </row>
    <row r="116" spans="3:70" s="63" customFormat="1" ht="15.75" x14ac:dyDescent="0.25">
      <c r="D116" s="63" t="s">
        <v>126</v>
      </c>
      <c r="K116" s="104">
        <f>SUM(K114:K115)</f>
        <v>7353.1298309359236</v>
      </c>
      <c r="M116" s="67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68"/>
      <c r="AU116" s="68"/>
      <c r="AV116" s="68"/>
      <c r="AW116" s="68"/>
      <c r="AX116" s="68"/>
      <c r="AY116" s="68"/>
      <c r="AZ116" s="68"/>
      <c r="BA116" s="68"/>
      <c r="BB116" s="68"/>
      <c r="BC116" s="68"/>
      <c r="BD116" s="68"/>
      <c r="BE116" s="68"/>
      <c r="BF116" s="68"/>
      <c r="BG116" s="68"/>
      <c r="BH116" s="68"/>
      <c r="BI116" s="68"/>
      <c r="BJ116" s="68"/>
      <c r="BK116" s="68"/>
      <c r="BL116" s="68"/>
      <c r="BM116" s="68"/>
      <c r="BN116" s="68"/>
      <c r="BO116" s="68"/>
      <c r="BP116" s="68"/>
      <c r="BQ116" s="68"/>
      <c r="BR116" s="68"/>
    </row>
    <row r="117" spans="3:70" x14ac:dyDescent="0.2">
      <c r="D117" s="12"/>
      <c r="K117" s="74"/>
    </row>
    <row r="119" spans="3:70" s="40" customFormat="1" x14ac:dyDescent="0.2">
      <c r="K119" s="102"/>
      <c r="M119" s="41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</row>
    <row r="120" spans="3:70" ht="20.25" x14ac:dyDescent="0.3">
      <c r="C120" s="23" t="s">
        <v>44</v>
      </c>
      <c r="O120" s="1" t="s">
        <v>58</v>
      </c>
      <c r="P120" s="4"/>
      <c r="Q120" s="4"/>
      <c r="R120" s="24"/>
      <c r="S120" s="24"/>
      <c r="T120" s="24"/>
      <c r="U120" s="24"/>
      <c r="V120" s="24"/>
      <c r="W120" s="4"/>
      <c r="X120" s="2"/>
      <c r="BR120" s="3"/>
    </row>
    <row r="121" spans="3:70" x14ac:dyDescent="0.2">
      <c r="D121" s="9" t="s">
        <v>178</v>
      </c>
      <c r="O121" s="4"/>
      <c r="P121" s="4"/>
      <c r="Q121" s="4"/>
      <c r="R121" s="24"/>
      <c r="S121" s="24"/>
      <c r="T121" s="24"/>
      <c r="U121" s="24"/>
      <c r="V121" s="24"/>
      <c r="W121" s="4"/>
      <c r="X121" s="2"/>
      <c r="BR121" s="3"/>
    </row>
    <row r="122" spans="3:70" x14ac:dyDescent="0.2">
      <c r="Q122" s="12"/>
      <c r="R122" s="25" t="s">
        <v>59</v>
      </c>
      <c r="S122" s="25"/>
      <c r="T122" s="116" t="s">
        <v>60</v>
      </c>
      <c r="U122" s="26"/>
      <c r="V122" s="26"/>
      <c r="X122" s="2"/>
      <c r="BR122" s="3"/>
    </row>
    <row r="123" spans="3:70" x14ac:dyDescent="0.2">
      <c r="C123" s="3" t="s">
        <v>73</v>
      </c>
      <c r="K123" s="105">
        <f>+K84</f>
        <v>4.7549999999999995E-2</v>
      </c>
      <c r="P123" s="27" t="s">
        <v>54</v>
      </c>
      <c r="Q123" s="27" t="s">
        <v>61</v>
      </c>
      <c r="R123" s="25"/>
      <c r="S123" s="25"/>
      <c r="T123" s="117" t="s">
        <v>62</v>
      </c>
      <c r="U123" s="28"/>
      <c r="V123" s="106" t="s">
        <v>63</v>
      </c>
      <c r="X123" s="2"/>
      <c r="BR123" s="3"/>
    </row>
    <row r="124" spans="3:70" x14ac:dyDescent="0.2">
      <c r="C124" s="3" t="s">
        <v>81</v>
      </c>
      <c r="K124" s="105">
        <f>+K85</f>
        <v>2.2398442963878128E-2</v>
      </c>
      <c r="R124" s="14"/>
      <c r="S124" s="14"/>
      <c r="T124" s="14"/>
      <c r="U124" s="14"/>
      <c r="V124" s="2"/>
      <c r="X124" s="2"/>
      <c r="BR124" s="3"/>
    </row>
    <row r="125" spans="3:70" x14ac:dyDescent="0.2">
      <c r="C125" s="3" t="s">
        <v>45</v>
      </c>
      <c r="K125" s="105">
        <f>K123-K124</f>
        <v>2.5151557036121867E-2</v>
      </c>
      <c r="R125" s="18"/>
      <c r="S125" s="18"/>
      <c r="T125" s="18"/>
      <c r="V125" s="107"/>
      <c r="W125" s="18"/>
      <c r="BR125" s="3"/>
    </row>
    <row r="126" spans="3:70" x14ac:dyDescent="0.2">
      <c r="C126" s="3" t="s">
        <v>46</v>
      </c>
      <c r="J126" s="13"/>
      <c r="K126" s="74">
        <f>+X80</f>
        <v>134.63955026455028</v>
      </c>
      <c r="P126" s="3">
        <v>1996</v>
      </c>
      <c r="R126" s="18">
        <v>6.7100000000000007E-2</v>
      </c>
      <c r="S126" s="18"/>
      <c r="T126" s="18">
        <v>0.03</v>
      </c>
      <c r="V126" s="107">
        <f t="shared" ref="V126:V145" si="0">+R126-T126</f>
        <v>3.7100000000000008E-2</v>
      </c>
      <c r="W126" s="18"/>
      <c r="BR126" s="3"/>
    </row>
    <row r="127" spans="3:70" x14ac:dyDescent="0.2">
      <c r="J127" s="13"/>
      <c r="P127" s="3">
        <v>1997</v>
      </c>
      <c r="R127" s="18">
        <v>6.6000000000000003E-2</v>
      </c>
      <c r="S127" s="18"/>
      <c r="T127" s="18">
        <v>2.3E-2</v>
      </c>
      <c r="V127" s="107">
        <f t="shared" si="0"/>
        <v>4.3000000000000003E-2</v>
      </c>
      <c r="W127" s="18"/>
      <c r="BR127" s="3"/>
    </row>
    <row r="128" spans="3:70" ht="9.75" customHeight="1" x14ac:dyDescent="0.2">
      <c r="D128" s="2"/>
      <c r="E128" s="2"/>
      <c r="F128" s="2" t="s">
        <v>47</v>
      </c>
      <c r="G128" s="2"/>
      <c r="H128" s="2"/>
      <c r="I128" s="2"/>
      <c r="P128" s="3">
        <v>1998</v>
      </c>
      <c r="R128" s="18">
        <v>5.6000000000000001E-2</v>
      </c>
      <c r="S128" s="18"/>
      <c r="T128" s="18">
        <v>1.6E-2</v>
      </c>
      <c r="V128" s="107">
        <f t="shared" si="0"/>
        <v>0.04</v>
      </c>
      <c r="W128" s="18"/>
      <c r="BR128" s="3"/>
    </row>
    <row r="129" spans="4:70" ht="9.75" customHeight="1" x14ac:dyDescent="0.2">
      <c r="D129" s="2"/>
      <c r="E129" s="2"/>
      <c r="F129" s="2" t="s">
        <v>48</v>
      </c>
      <c r="G129" s="2" t="s">
        <v>48</v>
      </c>
      <c r="H129" s="2" t="s">
        <v>48</v>
      </c>
      <c r="I129" s="2"/>
      <c r="P129" s="3">
        <v>1999</v>
      </c>
      <c r="R129" s="18">
        <v>5.8700000000000002E-2</v>
      </c>
      <c r="S129" s="18"/>
      <c r="T129" s="18">
        <v>1.9E-2</v>
      </c>
      <c r="V129" s="107">
        <f t="shared" si="0"/>
        <v>3.9699999999999999E-2</v>
      </c>
      <c r="W129" s="18"/>
      <c r="BR129" s="3"/>
    </row>
    <row r="130" spans="4:70" ht="9.75" customHeight="1" x14ac:dyDescent="0.2">
      <c r="D130" s="2"/>
      <c r="E130" s="2" t="s">
        <v>49</v>
      </c>
      <c r="F130" s="2" t="s">
        <v>50</v>
      </c>
      <c r="G130" s="2" t="s">
        <v>51</v>
      </c>
      <c r="H130" s="2" t="s">
        <v>52</v>
      </c>
      <c r="I130" s="2" t="s">
        <v>53</v>
      </c>
      <c r="P130" s="3">
        <v>2000</v>
      </c>
      <c r="R130" s="18">
        <v>5.9400000000000001E-2</v>
      </c>
      <c r="S130" s="18"/>
      <c r="T130" s="18">
        <v>3.6999999999999998E-2</v>
      </c>
      <c r="V130" s="107">
        <f t="shared" si="0"/>
        <v>2.2400000000000003E-2</v>
      </c>
      <c r="W130" s="18"/>
      <c r="BR130" s="3"/>
    </row>
    <row r="131" spans="4:70" ht="9.75" customHeight="1" x14ac:dyDescent="0.2">
      <c r="D131" s="5" t="s">
        <v>54</v>
      </c>
      <c r="E131" s="5" t="s">
        <v>55</v>
      </c>
      <c r="F131" s="5" t="s">
        <v>56</v>
      </c>
      <c r="G131" s="5" t="s">
        <v>57</v>
      </c>
      <c r="H131" s="5" t="s">
        <v>55</v>
      </c>
      <c r="I131" s="5" t="s">
        <v>55</v>
      </c>
      <c r="P131" s="3">
        <v>2001</v>
      </c>
      <c r="R131" s="18">
        <v>5.4899999999999997E-2</v>
      </c>
      <c r="S131" s="18"/>
      <c r="T131" s="18">
        <v>2.8000000000000001E-2</v>
      </c>
      <c r="V131" s="107">
        <f t="shared" si="0"/>
        <v>2.6899999999999997E-2</v>
      </c>
      <c r="W131" s="18"/>
      <c r="BR131" s="3"/>
    </row>
    <row r="132" spans="4:70" ht="9.75" customHeight="1" x14ac:dyDescent="0.2">
      <c r="D132" s="3">
        <v>2016</v>
      </c>
      <c r="E132" s="14">
        <f>+X87</f>
        <v>5353.1298309359236</v>
      </c>
      <c r="F132" s="14">
        <f>+E132*$K$123</f>
        <v>254.54132346100315</v>
      </c>
      <c r="G132" s="14">
        <f>+E132*$K$125</f>
        <v>134.63955026455028</v>
      </c>
      <c r="H132" s="14">
        <f>+E132*$K$124</f>
        <v>119.90177319645285</v>
      </c>
      <c r="I132" s="14">
        <f>+E132+H132</f>
        <v>5473.0316041323767</v>
      </c>
      <c r="P132" s="3">
        <v>2002</v>
      </c>
      <c r="R132" s="18">
        <v>5.4300000000000001E-2</v>
      </c>
      <c r="S132" s="18"/>
      <c r="T132" s="18">
        <v>1.5800000000000002E-2</v>
      </c>
      <c r="V132" s="107">
        <f t="shared" si="0"/>
        <v>3.85E-2</v>
      </c>
      <c r="W132" s="18"/>
      <c r="BR132" s="3"/>
    </row>
    <row r="133" spans="4:70" ht="9.75" customHeight="1" x14ac:dyDescent="0.2">
      <c r="D133" s="3">
        <f>+D132+1</f>
        <v>2017</v>
      </c>
      <c r="E133" s="14">
        <f>+I132</f>
        <v>5473.0316041323767</v>
      </c>
      <c r="F133" s="14">
        <f t="shared" ref="F133:F146" si="1">+E133*$K$123</f>
        <v>260.24265277649448</v>
      </c>
      <c r="G133" s="14">
        <f t="shared" ref="G133:G148" si="2">+E133*$K$125</f>
        <v>137.65526655183302</v>
      </c>
      <c r="H133" s="14">
        <f t="shared" ref="H133:H148" si="3">+E133*$K$124</f>
        <v>122.58738622466146</v>
      </c>
      <c r="I133" s="14">
        <f t="shared" ref="I133:I148" si="4">+E133+H133</f>
        <v>5595.6189903570385</v>
      </c>
      <c r="P133" s="3">
        <v>2003</v>
      </c>
      <c r="R133" s="18">
        <v>4.9599999999999998E-2</v>
      </c>
      <c r="S133" s="18"/>
      <c r="T133" s="18">
        <v>2.3E-2</v>
      </c>
      <c r="V133" s="107">
        <f t="shared" si="0"/>
        <v>2.6599999999999999E-2</v>
      </c>
      <c r="W133" s="18"/>
      <c r="BR133" s="3"/>
    </row>
    <row r="134" spans="4:70" ht="9.75" customHeight="1" x14ac:dyDescent="0.2">
      <c r="D134" s="3">
        <f t="shared" ref="D134:D142" si="5">+D133+1</f>
        <v>2018</v>
      </c>
      <c r="E134" s="14">
        <f t="shared" ref="E134:E148" si="6">+I133</f>
        <v>5595.6189903570385</v>
      </c>
      <c r="F134" s="14">
        <f t="shared" si="1"/>
        <v>266.07168299147713</v>
      </c>
      <c r="G134" s="14">
        <f t="shared" si="2"/>
        <v>140.7385301883717</v>
      </c>
      <c r="H134" s="14">
        <f t="shared" si="3"/>
        <v>125.33315280310543</v>
      </c>
      <c r="I134" s="14">
        <f t="shared" si="4"/>
        <v>5720.9521431601443</v>
      </c>
      <c r="P134" s="3">
        <v>2004</v>
      </c>
      <c r="R134" s="18">
        <v>5.04E-2</v>
      </c>
      <c r="S134" s="18"/>
      <c r="T134" s="18">
        <v>2.6630434782608736E-2</v>
      </c>
      <c r="V134" s="107">
        <f t="shared" si="0"/>
        <v>2.3769565217391264E-2</v>
      </c>
      <c r="W134" s="18"/>
      <c r="BR134" s="3"/>
    </row>
    <row r="135" spans="4:70" ht="9.75" customHeight="1" x14ac:dyDescent="0.2">
      <c r="D135" s="3">
        <f t="shared" si="5"/>
        <v>2019</v>
      </c>
      <c r="E135" s="14">
        <f t="shared" si="6"/>
        <v>5720.9521431601443</v>
      </c>
      <c r="F135" s="14">
        <f t="shared" si="1"/>
        <v>272.03127440726485</v>
      </c>
      <c r="G135" s="14">
        <f t="shared" si="2"/>
        <v>143.890854129616</v>
      </c>
      <c r="H135" s="14">
        <f t="shared" si="3"/>
        <v>128.14042027764881</v>
      </c>
      <c r="I135" s="14">
        <f t="shared" si="4"/>
        <v>5849.0925634377927</v>
      </c>
      <c r="P135" s="3">
        <v>2005</v>
      </c>
      <c r="R135" s="18">
        <v>4.6399999999999997E-2</v>
      </c>
      <c r="S135" s="18"/>
      <c r="T135" s="18">
        <v>3.3880359978824881E-2</v>
      </c>
      <c r="V135" s="107">
        <f t="shared" si="0"/>
        <v>1.2519640021175116E-2</v>
      </c>
      <c r="W135" s="18"/>
      <c r="BR135" s="3"/>
    </row>
    <row r="136" spans="4:70" ht="9.75" customHeight="1" x14ac:dyDescent="0.2">
      <c r="D136" s="3">
        <f t="shared" si="5"/>
        <v>2020</v>
      </c>
      <c r="E136" s="14">
        <f t="shared" si="6"/>
        <v>5849.0925634377927</v>
      </c>
      <c r="F136" s="14">
        <f t="shared" si="1"/>
        <v>278.12435139146703</v>
      </c>
      <c r="G136" s="14">
        <f t="shared" si="2"/>
        <v>147.11378521886189</v>
      </c>
      <c r="H136" s="14">
        <f t="shared" si="3"/>
        <v>131.01056617260511</v>
      </c>
      <c r="I136" s="14">
        <f t="shared" si="4"/>
        <v>5980.1031296103974</v>
      </c>
      <c r="P136" s="3">
        <v>2006</v>
      </c>
      <c r="R136" s="18">
        <v>4.9099999999999998E-2</v>
      </c>
      <c r="S136" s="18"/>
      <c r="T136" s="18">
        <v>3.2258064516129004E-2</v>
      </c>
      <c r="V136" s="107">
        <f t="shared" si="0"/>
        <v>1.6841935483870994E-2</v>
      </c>
      <c r="W136" s="18"/>
      <c r="BR136" s="3"/>
    </row>
    <row r="137" spans="4:70" ht="9.75" customHeight="1" x14ac:dyDescent="0.2">
      <c r="D137" s="3">
        <f t="shared" si="5"/>
        <v>2021</v>
      </c>
      <c r="E137" s="14">
        <f>+I136</f>
        <v>5980.1031296103974</v>
      </c>
      <c r="F137" s="14">
        <f t="shared" si="1"/>
        <v>284.35390381297435</v>
      </c>
      <c r="G137" s="14">
        <f t="shared" si="2"/>
        <v>150.40890494628678</v>
      </c>
      <c r="H137" s="14">
        <f t="shared" si="3"/>
        <v>133.94499886668757</v>
      </c>
      <c r="I137" s="14">
        <f t="shared" si="4"/>
        <v>6114.0481284770849</v>
      </c>
      <c r="P137" s="3">
        <v>2007</v>
      </c>
      <c r="R137" s="115">
        <v>4.8399999999999999E-2</v>
      </c>
      <c r="S137" s="18"/>
      <c r="T137" s="115">
        <v>2.8000000000000001E-2</v>
      </c>
      <c r="V137" s="107">
        <f t="shared" si="0"/>
        <v>2.0399999999999998E-2</v>
      </c>
      <c r="W137" s="18"/>
      <c r="BR137" s="3"/>
    </row>
    <row r="138" spans="4:70" ht="9.75" customHeight="1" x14ac:dyDescent="0.2">
      <c r="D138" s="3">
        <f t="shared" si="5"/>
        <v>2022</v>
      </c>
      <c r="E138" s="14">
        <f t="shared" si="6"/>
        <v>6114.0481284770849</v>
      </c>
      <c r="F138" s="14">
        <f t="shared" si="1"/>
        <v>290.72298850908538</v>
      </c>
      <c r="G138" s="14">
        <f t="shared" si="2"/>
        <v>153.77783022498556</v>
      </c>
      <c r="H138" s="14">
        <f t="shared" si="3"/>
        <v>136.94515828409979</v>
      </c>
      <c r="I138" s="14">
        <f t="shared" si="4"/>
        <v>6250.9932867611851</v>
      </c>
      <c r="P138" s="3">
        <v>2008</v>
      </c>
      <c r="R138" s="115">
        <v>4.2799999999999998E-2</v>
      </c>
      <c r="S138" s="18"/>
      <c r="T138" s="115">
        <v>3.7999999999999999E-2</v>
      </c>
      <c r="V138" s="107">
        <f t="shared" si="0"/>
        <v>4.7999999999999987E-3</v>
      </c>
      <c r="W138" s="18"/>
      <c r="BR138" s="3"/>
    </row>
    <row r="139" spans="4:70" ht="9.75" customHeight="1" x14ac:dyDescent="0.2">
      <c r="D139" s="3">
        <f t="shared" si="5"/>
        <v>2023</v>
      </c>
      <c r="E139" s="14">
        <f t="shared" si="6"/>
        <v>6250.9932867611851</v>
      </c>
      <c r="F139" s="14">
        <f t="shared" si="1"/>
        <v>297.23473078549432</v>
      </c>
      <c r="G139" s="14">
        <f t="shared" si="2"/>
        <v>157.22221418438883</v>
      </c>
      <c r="H139" s="14">
        <f t="shared" si="3"/>
        <v>140.01251660110549</v>
      </c>
      <c r="I139" s="14">
        <f t="shared" si="4"/>
        <v>6391.0058033622909</v>
      </c>
      <c r="P139" s="3">
        <v>2009</v>
      </c>
      <c r="R139" s="115">
        <v>4.0800000000000003E-2</v>
      </c>
      <c r="S139" s="18"/>
      <c r="T139" s="115">
        <v>-4.0000000000000001E-3</v>
      </c>
      <c r="V139" s="107">
        <f t="shared" si="0"/>
        <v>4.4800000000000006E-2</v>
      </c>
      <c r="W139" s="18"/>
      <c r="BR139" s="3"/>
    </row>
    <row r="140" spans="4:70" ht="9.75" customHeight="1" x14ac:dyDescent="0.2">
      <c r="D140" s="3">
        <f t="shared" si="5"/>
        <v>2024</v>
      </c>
      <c r="E140" s="14">
        <f t="shared" si="6"/>
        <v>6391.0058033622909</v>
      </c>
      <c r="F140" s="14">
        <f t="shared" si="1"/>
        <v>303.89232594987692</v>
      </c>
      <c r="G140" s="14">
        <f t="shared" si="2"/>
        <v>160.74374698145252</v>
      </c>
      <c r="H140" s="14">
        <f t="shared" si="3"/>
        <v>143.14857896842437</v>
      </c>
      <c r="I140" s="14">
        <f t="shared" si="4"/>
        <v>6534.1543823307156</v>
      </c>
      <c r="P140" s="3">
        <v>2010</v>
      </c>
      <c r="R140" s="115">
        <v>4.2500000000000003E-2</v>
      </c>
      <c r="S140" s="18"/>
      <c r="T140" s="115">
        <v>1.6E-2</v>
      </c>
      <c r="V140" s="107">
        <f t="shared" si="0"/>
        <v>2.6500000000000003E-2</v>
      </c>
      <c r="W140" s="18"/>
      <c r="BR140" s="3"/>
    </row>
    <row r="141" spans="4:70" ht="9.75" customHeight="1" x14ac:dyDescent="0.2">
      <c r="D141" s="3">
        <f t="shared" si="5"/>
        <v>2025</v>
      </c>
      <c r="E141" s="14">
        <f t="shared" si="6"/>
        <v>6534.1543823307156</v>
      </c>
      <c r="F141" s="14">
        <f t="shared" si="1"/>
        <v>310.69904087982547</v>
      </c>
      <c r="G141" s="14">
        <f t="shared" si="2"/>
        <v>164.34415663001664</v>
      </c>
      <c r="H141" s="14">
        <f t="shared" si="3"/>
        <v>146.35488424980886</v>
      </c>
      <c r="I141" s="14">
        <f t="shared" si="4"/>
        <v>6680.5092665805241</v>
      </c>
      <c r="P141" s="3">
        <v>2011</v>
      </c>
      <c r="R141" s="115">
        <v>3.9100000000000003E-2</v>
      </c>
      <c r="T141" s="115">
        <v>3.2000000000000001E-2</v>
      </c>
      <c r="V141" s="107">
        <f t="shared" si="0"/>
        <v>7.1000000000000021E-3</v>
      </c>
      <c r="BR141" s="3"/>
    </row>
    <row r="142" spans="4:70" ht="9.75" customHeight="1" x14ac:dyDescent="0.2">
      <c r="D142" s="3">
        <f t="shared" si="5"/>
        <v>2026</v>
      </c>
      <c r="E142" s="14">
        <f t="shared" si="6"/>
        <v>6680.5092665805241</v>
      </c>
      <c r="F142" s="14">
        <f t="shared" si="1"/>
        <v>317.65821562590389</v>
      </c>
      <c r="G142" s="14">
        <f t="shared" si="2"/>
        <v>168.02520984874073</v>
      </c>
      <c r="H142" s="14">
        <f t="shared" si="3"/>
        <v>149.63300577716316</v>
      </c>
      <c r="I142" s="14">
        <f t="shared" si="4"/>
        <v>6830.142272357687</v>
      </c>
      <c r="P142" s="3">
        <v>2012</v>
      </c>
      <c r="R142" s="115">
        <v>2.92E-2</v>
      </c>
      <c r="T142" s="115">
        <v>2.1000000000000001E-2</v>
      </c>
      <c r="V142" s="107">
        <f t="shared" si="0"/>
        <v>8.199999999999999E-3</v>
      </c>
      <c r="BR142" s="3"/>
    </row>
    <row r="143" spans="4:70" ht="9.75" customHeight="1" x14ac:dyDescent="0.2">
      <c r="D143" s="3">
        <f t="shared" ref="D143:D172" si="7">+D142+1</f>
        <v>2027</v>
      </c>
      <c r="E143" s="14">
        <f t="shared" si="6"/>
        <v>6830.142272357687</v>
      </c>
      <c r="F143" s="14">
        <f t="shared" si="1"/>
        <v>324.77326505060796</v>
      </c>
      <c r="G143" s="14">
        <f t="shared" si="2"/>
        <v>171.78871292803137</v>
      </c>
      <c r="H143" s="14">
        <f t="shared" si="3"/>
        <v>152.98455212257659</v>
      </c>
      <c r="I143" s="14">
        <f t="shared" si="4"/>
        <v>6983.1268244802632</v>
      </c>
      <c r="P143" s="3">
        <v>2013</v>
      </c>
      <c r="R143" s="115">
        <v>3.4500000000000003E-2</v>
      </c>
      <c r="T143" s="115">
        <v>1.4999999999999999E-2</v>
      </c>
      <c r="V143" s="107">
        <f t="shared" si="0"/>
        <v>1.9500000000000003E-2</v>
      </c>
      <c r="BR143" s="3"/>
    </row>
    <row r="144" spans="4:70" ht="9.75" customHeight="1" x14ac:dyDescent="0.2">
      <c r="D144" s="3">
        <f t="shared" si="7"/>
        <v>2028</v>
      </c>
      <c r="E144" s="14">
        <f t="shared" si="6"/>
        <v>6983.1268244802632</v>
      </c>
      <c r="F144" s="14">
        <f t="shared" si="1"/>
        <v>332.04768050403646</v>
      </c>
      <c r="G144" s="14">
        <f t="shared" si="2"/>
        <v>175.6365126163879</v>
      </c>
      <c r="H144" s="14">
        <f t="shared" si="3"/>
        <v>156.41116788764856</v>
      </c>
      <c r="I144" s="14">
        <f t="shared" si="4"/>
        <v>7139.537992367912</v>
      </c>
      <c r="P144" s="3">
        <v>2014</v>
      </c>
      <c r="R144" s="115">
        <v>3.3399999999999999E-2</v>
      </c>
      <c r="T144" s="115">
        <v>1.6199999999999999E-2</v>
      </c>
      <c r="V144" s="107">
        <f t="shared" si="0"/>
        <v>1.72E-2</v>
      </c>
      <c r="BR144" s="3"/>
    </row>
    <row r="145" spans="4:70" ht="9.75" customHeight="1" x14ac:dyDescent="0.2">
      <c r="D145" s="3">
        <f t="shared" si="7"/>
        <v>2029</v>
      </c>
      <c r="E145" s="14">
        <f t="shared" si="6"/>
        <v>7139.537992367912</v>
      </c>
      <c r="F145" s="14">
        <f t="shared" si="1"/>
        <v>339.48503153709419</v>
      </c>
      <c r="G145" s="14">
        <f t="shared" si="2"/>
        <v>179.57049702660055</v>
      </c>
      <c r="H145" s="14">
        <f t="shared" si="3"/>
        <v>159.91453451049364</v>
      </c>
      <c r="I145" s="14">
        <f t="shared" si="4"/>
        <v>7299.4525268784055</v>
      </c>
      <c r="P145" s="3">
        <v>2015</v>
      </c>
      <c r="R145" s="115">
        <v>2.8400000000000002E-2</v>
      </c>
      <c r="T145" s="115">
        <v>1.1999999999999999E-3</v>
      </c>
      <c r="V145" s="107">
        <f t="shared" si="0"/>
        <v>2.7200000000000002E-2</v>
      </c>
      <c r="BR145" s="3"/>
    </row>
    <row r="146" spans="4:70" ht="9.75" customHeight="1" x14ac:dyDescent="0.2">
      <c r="D146" s="3">
        <f t="shared" si="7"/>
        <v>2030</v>
      </c>
      <c r="E146" s="14">
        <f t="shared" si="6"/>
        <v>7299.4525268784055</v>
      </c>
      <c r="F146" s="14">
        <f t="shared" si="1"/>
        <v>347.08896765306815</v>
      </c>
      <c r="G146" s="14">
        <f t="shared" si="2"/>
        <v>183.59259656224611</v>
      </c>
      <c r="H146" s="14">
        <f t="shared" si="3"/>
        <v>163.49637109082204</v>
      </c>
      <c r="I146" s="14">
        <f t="shared" si="4"/>
        <v>7462.9488979692278</v>
      </c>
      <c r="R146" s="115"/>
      <c r="V146" s="2"/>
      <c r="BR146" s="3"/>
    </row>
    <row r="147" spans="4:70" ht="9.75" customHeight="1" x14ac:dyDescent="0.2">
      <c r="D147" s="3">
        <f t="shared" si="7"/>
        <v>2031</v>
      </c>
      <c r="E147" s="14">
        <f t="shared" si="6"/>
        <v>7462.9488979692278</v>
      </c>
      <c r="F147" s="14">
        <f t="shared" ref="F147:F162" si="8">+E147*$K$123</f>
        <v>354.86322009843673</v>
      </c>
      <c r="G147" s="14">
        <f t="shared" si="2"/>
        <v>187.70478486493587</v>
      </c>
      <c r="H147" s="14">
        <f t="shared" si="3"/>
        <v>167.15843523350088</v>
      </c>
      <c r="I147" s="14">
        <f t="shared" si="4"/>
        <v>7630.107333202729</v>
      </c>
      <c r="P147" s="3" t="s">
        <v>64</v>
      </c>
      <c r="R147" s="17">
        <f>AVERAGE(R125:R145)</f>
        <v>4.7549999999999995E-2</v>
      </c>
      <c r="T147" s="17">
        <f>AVERAGE(T126:T145)</f>
        <v>2.2398442963878128E-2</v>
      </c>
      <c r="V147" s="105">
        <f>AVERAGE(V125:V145)</f>
        <v>2.5151557036121864E-2</v>
      </c>
      <c r="BR147" s="3"/>
    </row>
    <row r="148" spans="4:70" ht="9.75" customHeight="1" x14ac:dyDescent="0.2">
      <c r="D148" s="3">
        <f t="shared" si="7"/>
        <v>2032</v>
      </c>
      <c r="E148" s="14">
        <f t="shared" si="6"/>
        <v>7630.107333202729</v>
      </c>
      <c r="F148" s="14">
        <f t="shared" si="8"/>
        <v>362.81160369378972</v>
      </c>
      <c r="G148" s="14">
        <f t="shared" si="2"/>
        <v>191.90907978278017</v>
      </c>
      <c r="H148" s="14">
        <f t="shared" si="3"/>
        <v>170.90252391100958</v>
      </c>
      <c r="I148" s="14">
        <f t="shared" si="4"/>
        <v>7801.0098571137387</v>
      </c>
      <c r="BR148" s="3"/>
    </row>
    <row r="149" spans="4:70" ht="9.75" customHeight="1" x14ac:dyDescent="0.2">
      <c r="D149" s="3">
        <f t="shared" si="7"/>
        <v>2033</v>
      </c>
      <c r="E149" s="14">
        <f t="shared" ref="E149:E164" si="9">+I148</f>
        <v>7801.0098571137387</v>
      </c>
      <c r="F149" s="14">
        <f t="shared" si="8"/>
        <v>370.93801870575822</v>
      </c>
      <c r="G149" s="14">
        <f t="shared" ref="G149:G164" si="10">+E149*$K$125</f>
        <v>196.20754436054509</v>
      </c>
      <c r="H149" s="14">
        <f t="shared" ref="H149:H164" si="11">+E149*$K$124</f>
        <v>174.73047434521314</v>
      </c>
      <c r="I149" s="14">
        <f t="shared" ref="I149:I164" si="12">+E149+H149</f>
        <v>7975.7403314589519</v>
      </c>
      <c r="P149" s="3" t="s">
        <v>65</v>
      </c>
      <c r="R149" s="3" t="s">
        <v>66</v>
      </c>
      <c r="W149" s="3" t="s">
        <v>67</v>
      </c>
      <c r="BR149" s="3"/>
    </row>
    <row r="150" spans="4:70" ht="9.75" customHeight="1" x14ac:dyDescent="0.2">
      <c r="D150" s="3">
        <f t="shared" si="7"/>
        <v>2034</v>
      </c>
      <c r="E150" s="14">
        <f t="shared" si="9"/>
        <v>7975.7403314589519</v>
      </c>
      <c r="F150" s="14">
        <f t="shared" si="8"/>
        <v>379.24645276087313</v>
      </c>
      <c r="G150" s="14">
        <f t="shared" si="10"/>
        <v>200.60228785198737</v>
      </c>
      <c r="H150" s="14">
        <f t="shared" si="11"/>
        <v>178.64416490888576</v>
      </c>
      <c r="I150" s="14">
        <f t="shared" si="12"/>
        <v>8154.3844963678375</v>
      </c>
      <c r="R150" s="3" t="s">
        <v>74</v>
      </c>
      <c r="W150" s="3" t="s">
        <v>68</v>
      </c>
      <c r="X150" s="2"/>
      <c r="BR150" s="3"/>
    </row>
    <row r="151" spans="4:70" ht="9.75" customHeight="1" x14ac:dyDescent="0.2">
      <c r="D151" s="3">
        <f t="shared" si="7"/>
        <v>2035</v>
      </c>
      <c r="E151" s="14">
        <f t="shared" si="9"/>
        <v>8154.3844963678375</v>
      </c>
      <c r="F151" s="14">
        <f t="shared" si="8"/>
        <v>387.74098280229066</v>
      </c>
      <c r="G151" s="14">
        <f t="shared" si="10"/>
        <v>205.09546675486357</v>
      </c>
      <c r="H151" s="14">
        <f t="shared" si="11"/>
        <v>182.64551604742709</v>
      </c>
      <c r="I151" s="14">
        <f t="shared" si="12"/>
        <v>8337.0300124152654</v>
      </c>
      <c r="X151" s="2"/>
      <c r="BR151" s="3"/>
    </row>
    <row r="152" spans="4:70" ht="9.75" customHeight="1" x14ac:dyDescent="0.2">
      <c r="D152" s="3">
        <f t="shared" si="7"/>
        <v>2036</v>
      </c>
      <c r="E152" s="14">
        <f t="shared" si="9"/>
        <v>8337.0300124152654</v>
      </c>
      <c r="F152" s="14">
        <f t="shared" si="8"/>
        <v>396.42577709034583</v>
      </c>
      <c r="G152" s="14">
        <f t="shared" si="10"/>
        <v>209.68928586912236</v>
      </c>
      <c r="H152" s="14">
        <f t="shared" si="11"/>
        <v>186.73649122122347</v>
      </c>
      <c r="I152" s="14">
        <f t="shared" si="12"/>
        <v>8523.7665036364888</v>
      </c>
      <c r="X152" s="2"/>
      <c r="BR152" s="3"/>
    </row>
    <row r="153" spans="4:70" ht="9.75" customHeight="1" x14ac:dyDescent="0.2">
      <c r="D153" s="3">
        <f t="shared" si="7"/>
        <v>2037</v>
      </c>
      <c r="E153" s="14">
        <f t="shared" si="9"/>
        <v>8523.7665036364888</v>
      </c>
      <c r="F153" s="14">
        <f t="shared" si="8"/>
        <v>405.305097247915</v>
      </c>
      <c r="G153" s="14">
        <f t="shared" si="10"/>
        <v>214.38599937879823</v>
      </c>
      <c r="H153" s="14">
        <f t="shared" si="11"/>
        <v>190.91909786911677</v>
      </c>
      <c r="I153" s="14">
        <f t="shared" si="12"/>
        <v>8714.6856015056055</v>
      </c>
      <c r="X153" s="50"/>
      <c r="BR153" s="3"/>
    </row>
    <row r="154" spans="4:70" ht="9.75" customHeight="1" x14ac:dyDescent="0.2">
      <c r="D154" s="3">
        <f t="shared" si="7"/>
        <v>2038</v>
      </c>
      <c r="E154" s="14">
        <f t="shared" si="9"/>
        <v>8714.6856015056055</v>
      </c>
      <c r="F154" s="14">
        <f t="shared" si="8"/>
        <v>414.38330035159152</v>
      </c>
      <c r="G154" s="14">
        <f t="shared" si="10"/>
        <v>219.18791195813824</v>
      </c>
      <c r="H154" s="14">
        <f t="shared" si="11"/>
        <v>195.19538839345327</v>
      </c>
      <c r="I154" s="14">
        <f t="shared" si="12"/>
        <v>8909.8809898990585</v>
      </c>
      <c r="X154" s="50"/>
      <c r="BR154" s="3"/>
    </row>
    <row r="155" spans="4:70" ht="9.75" customHeight="1" x14ac:dyDescent="0.2">
      <c r="D155" s="3">
        <f t="shared" si="7"/>
        <v>2039</v>
      </c>
      <c r="E155" s="14">
        <f t="shared" si="9"/>
        <v>8909.8809898990585</v>
      </c>
      <c r="F155" s="14">
        <f t="shared" si="8"/>
        <v>423.66484106970017</v>
      </c>
      <c r="G155" s="14">
        <f t="shared" si="10"/>
        <v>224.09737990250414</v>
      </c>
      <c r="H155" s="14">
        <f t="shared" si="11"/>
        <v>199.56746116719606</v>
      </c>
      <c r="I155" s="14">
        <f t="shared" si="12"/>
        <v>9109.4484510662551</v>
      </c>
      <c r="X155" s="50"/>
      <c r="BR155" s="3"/>
    </row>
    <row r="156" spans="4:70" ht="9.75" customHeight="1" x14ac:dyDescent="0.2">
      <c r="D156" s="3">
        <f t="shared" si="7"/>
        <v>2040</v>
      </c>
      <c r="E156" s="14">
        <f t="shared" si="9"/>
        <v>9109.4484510662551</v>
      </c>
      <c r="F156" s="14">
        <f t="shared" si="8"/>
        <v>433.15427384820038</v>
      </c>
      <c r="G156" s="14">
        <f t="shared" si="10"/>
        <v>229.11681228460492</v>
      </c>
      <c r="H156" s="14">
        <f t="shared" si="11"/>
        <v>204.03746156359546</v>
      </c>
      <c r="I156" s="14">
        <f t="shared" si="12"/>
        <v>9313.4859126298506</v>
      </c>
      <c r="X156" s="50"/>
      <c r="BR156" s="3"/>
    </row>
    <row r="157" spans="4:70" ht="9.75" customHeight="1" x14ac:dyDescent="0.2">
      <c r="D157" s="3">
        <f t="shared" si="7"/>
        <v>2041</v>
      </c>
      <c r="E157" s="14">
        <f t="shared" si="9"/>
        <v>9313.4859126298506</v>
      </c>
      <c r="F157" s="14">
        <f t="shared" si="8"/>
        <v>442.85625514554937</v>
      </c>
      <c r="G157" s="14">
        <f t="shared" si="10"/>
        <v>234.24867213662722</v>
      </c>
      <c r="H157" s="14">
        <f t="shared" si="11"/>
        <v>208.60758300892215</v>
      </c>
      <c r="I157" s="14">
        <f t="shared" si="12"/>
        <v>9522.0934956387737</v>
      </c>
      <c r="X157" s="50"/>
      <c r="BR157" s="3"/>
    </row>
    <row r="158" spans="4:70" ht="9.75" customHeight="1" x14ac:dyDescent="0.2">
      <c r="D158" s="3">
        <f t="shared" si="7"/>
        <v>2042</v>
      </c>
      <c r="E158" s="14">
        <f t="shared" si="9"/>
        <v>9522.0934956387737</v>
      </c>
      <c r="F158" s="14">
        <f t="shared" si="8"/>
        <v>452.77554571762363</v>
      </c>
      <c r="G158" s="14">
        <f t="shared" si="10"/>
        <v>239.49547765884367</v>
      </c>
      <c r="H158" s="14">
        <f t="shared" si="11"/>
        <v>213.28006805877999</v>
      </c>
      <c r="I158" s="14">
        <f t="shared" si="12"/>
        <v>9735.3735636975543</v>
      </c>
      <c r="X158" s="50"/>
      <c r="BR158" s="3"/>
    </row>
    <row r="159" spans="4:70" ht="9.75" customHeight="1" x14ac:dyDescent="0.2">
      <c r="D159" s="3">
        <f t="shared" si="7"/>
        <v>2043</v>
      </c>
      <c r="E159" s="14">
        <f t="shared" si="9"/>
        <v>9735.3735636975543</v>
      </c>
      <c r="F159" s="14">
        <f t="shared" si="8"/>
        <v>462.91701295381864</v>
      </c>
      <c r="G159" s="14">
        <f t="shared" si="10"/>
        <v>244.85980345529205</v>
      </c>
      <c r="H159" s="14">
        <f t="shared" si="11"/>
        <v>218.05720949852662</v>
      </c>
      <c r="I159" s="14">
        <f t="shared" si="12"/>
        <v>9953.4307731960816</v>
      </c>
      <c r="X159" s="50"/>
      <c r="BR159" s="3"/>
    </row>
    <row r="160" spans="4:70" ht="9.75" customHeight="1" x14ac:dyDescent="0.2">
      <c r="D160" s="3">
        <f t="shared" si="7"/>
        <v>2044</v>
      </c>
      <c r="E160" s="14">
        <f t="shared" si="9"/>
        <v>9953.4307731960816</v>
      </c>
      <c r="F160" s="14">
        <f t="shared" si="8"/>
        <v>473.28563326547362</v>
      </c>
      <c r="G160" s="14">
        <f t="shared" si="10"/>
        <v>250.34428179713183</v>
      </c>
      <c r="H160" s="14">
        <f t="shared" si="11"/>
        <v>222.94135146834179</v>
      </c>
      <c r="I160" s="14">
        <f t="shared" si="12"/>
        <v>10176.372124664424</v>
      </c>
      <c r="X160" s="50"/>
      <c r="BR160" s="3"/>
    </row>
    <row r="161" spans="4:70" ht="9.75" customHeight="1" x14ac:dyDescent="0.2">
      <c r="D161" s="3">
        <f t="shared" si="7"/>
        <v>2045</v>
      </c>
      <c r="E161" s="14">
        <f t="shared" si="9"/>
        <v>10176.372124664424</v>
      </c>
      <c r="F161" s="14">
        <f t="shared" si="8"/>
        <v>483.88649452779327</v>
      </c>
      <c r="G161" s="14">
        <f t="shared" si="10"/>
        <v>255.95160391429792</v>
      </c>
      <c r="H161" s="14">
        <f t="shared" si="11"/>
        <v>227.93489061349538</v>
      </c>
      <c r="I161" s="14">
        <f t="shared" si="12"/>
        <v>10404.307015277918</v>
      </c>
      <c r="X161" s="50"/>
      <c r="BR161" s="3"/>
    </row>
    <row r="162" spans="4:70" ht="9.75" customHeight="1" x14ac:dyDescent="0.2">
      <c r="D162" s="3">
        <f t="shared" si="7"/>
        <v>2046</v>
      </c>
      <c r="E162" s="14">
        <f t="shared" si="9"/>
        <v>10404.307015277918</v>
      </c>
      <c r="F162" s="14">
        <f t="shared" si="8"/>
        <v>494.72479857646493</v>
      </c>
      <c r="G162" s="14">
        <f t="shared" si="10"/>
        <v>261.68452131608541</v>
      </c>
      <c r="H162" s="14">
        <f t="shared" si="11"/>
        <v>233.04027726037953</v>
      </c>
      <c r="I162" s="14">
        <f t="shared" si="12"/>
        <v>10637.347292538298</v>
      </c>
      <c r="X162" s="50"/>
      <c r="BR162" s="3"/>
    </row>
    <row r="163" spans="4:70" ht="9.75" customHeight="1" x14ac:dyDescent="0.2">
      <c r="D163" s="3">
        <f t="shared" si="7"/>
        <v>2047</v>
      </c>
      <c r="E163" s="14">
        <f t="shared" si="9"/>
        <v>10637.347292538298</v>
      </c>
      <c r="F163" s="14">
        <f t="shared" ref="F163:F172" si="13">+E163*$K$123</f>
        <v>505.80586376019602</v>
      </c>
      <c r="G163" s="14">
        <f t="shared" si="10"/>
        <v>267.54584714131352</v>
      </c>
      <c r="H163" s="14">
        <f t="shared" si="11"/>
        <v>238.26001661888247</v>
      </c>
      <c r="I163" s="14">
        <f t="shared" si="12"/>
        <v>10875.60730915718</v>
      </c>
      <c r="X163" s="50"/>
      <c r="BR163" s="3"/>
    </row>
    <row r="164" spans="4:70" ht="9.75" customHeight="1" x14ac:dyDescent="0.2">
      <c r="D164" s="3">
        <f t="shared" si="7"/>
        <v>2048</v>
      </c>
      <c r="E164" s="14">
        <f t="shared" si="9"/>
        <v>10875.60730915718</v>
      </c>
      <c r="F164" s="14">
        <f t="shared" si="13"/>
        <v>517.13512755042382</v>
      </c>
      <c r="G164" s="14">
        <f t="shared" si="10"/>
        <v>273.53845753873065</v>
      </c>
      <c r="H164" s="14">
        <f t="shared" si="11"/>
        <v>243.59667001169316</v>
      </c>
      <c r="I164" s="14">
        <f t="shared" si="12"/>
        <v>11119.203979168873</v>
      </c>
      <c r="X164" s="50"/>
      <c r="BR164" s="3"/>
    </row>
    <row r="165" spans="4:70" ht="9.75" customHeight="1" x14ac:dyDescent="0.2">
      <c r="D165" s="3">
        <f t="shared" si="7"/>
        <v>2049</v>
      </c>
      <c r="E165" s="14">
        <f t="shared" ref="E165:E172" si="14">+I164</f>
        <v>11119.203979168873</v>
      </c>
      <c r="F165" s="14">
        <f t="shared" si="13"/>
        <v>528.71814920947986</v>
      </c>
      <c r="G165" s="14">
        <f t="shared" ref="G165:G172" si="15">+E165*$K$125</f>
        <v>279.66529307833912</v>
      </c>
      <c r="H165" s="14">
        <f t="shared" ref="H165:H172" si="16">+E165*$K$124</f>
        <v>249.05285613114071</v>
      </c>
      <c r="I165" s="14">
        <f t="shared" ref="I165:I172" si="17">+E165+H165</f>
        <v>11368.256835300013</v>
      </c>
      <c r="X165" s="50"/>
      <c r="BR165" s="3"/>
    </row>
    <row r="166" spans="4:70" ht="9.75" customHeight="1" x14ac:dyDescent="0.2">
      <c r="D166" s="3">
        <f t="shared" si="7"/>
        <v>2050</v>
      </c>
      <c r="E166" s="14">
        <f t="shared" si="14"/>
        <v>11368.256835300013</v>
      </c>
      <c r="F166" s="14">
        <f t="shared" si="13"/>
        <v>540.56061251851554</v>
      </c>
      <c r="G166" s="14">
        <f t="shared" si="15"/>
        <v>285.92936019433057</v>
      </c>
      <c r="H166" s="14">
        <f t="shared" si="16"/>
        <v>254.63125232418503</v>
      </c>
      <c r="I166" s="14">
        <f t="shared" si="17"/>
        <v>11622.888087624198</v>
      </c>
      <c r="X166" s="50"/>
      <c r="BR166" s="3"/>
    </row>
    <row r="167" spans="4:70" ht="9.75" customHeight="1" x14ac:dyDescent="0.2">
      <c r="D167" s="3">
        <f t="shared" si="7"/>
        <v>2051</v>
      </c>
      <c r="E167" s="14">
        <f t="shared" si="14"/>
        <v>11622.888087624198</v>
      </c>
      <c r="F167" s="14">
        <f t="shared" si="13"/>
        <v>552.66832856653059</v>
      </c>
      <c r="G167" s="14">
        <f t="shared" si="15"/>
        <v>292.33373266034147</v>
      </c>
      <c r="H167" s="14">
        <f t="shared" si="16"/>
        <v>260.33459590618912</v>
      </c>
      <c r="I167" s="14">
        <f t="shared" si="17"/>
        <v>11883.222683530388</v>
      </c>
      <c r="X167" s="50"/>
      <c r="BR167" s="3"/>
    </row>
    <row r="168" spans="4:70" ht="9.75" customHeight="1" x14ac:dyDescent="0.2">
      <c r="D168" s="3">
        <f t="shared" si="7"/>
        <v>2052</v>
      </c>
      <c r="E168" s="14">
        <f t="shared" si="14"/>
        <v>11883.222683530388</v>
      </c>
      <c r="F168" s="14">
        <f t="shared" si="13"/>
        <v>565.04723860186994</v>
      </c>
      <c r="G168" s="14">
        <f t="shared" si="15"/>
        <v>298.88155309775169</v>
      </c>
      <c r="H168" s="14">
        <f t="shared" si="16"/>
        <v>266.16568550411819</v>
      </c>
      <c r="I168" s="14">
        <f t="shared" si="17"/>
        <v>12149.388369034506</v>
      </c>
      <c r="X168" s="50"/>
      <c r="BR168" s="3"/>
    </row>
    <row r="169" spans="4:70" s="118" customFormat="1" ht="9.75" customHeight="1" x14ac:dyDescent="0.2">
      <c r="D169" s="118">
        <f t="shared" si="7"/>
        <v>2053</v>
      </c>
      <c r="E169" s="119">
        <f t="shared" si="14"/>
        <v>12149.388369034506</v>
      </c>
      <c r="F169" s="119">
        <f t="shared" si="13"/>
        <v>577.70341694759077</v>
      </c>
      <c r="G169" s="119">
        <f t="shared" si="15"/>
        <v>305.57603451776703</v>
      </c>
      <c r="H169" s="119">
        <f t="shared" si="16"/>
        <v>272.12738242982368</v>
      </c>
      <c r="I169" s="119">
        <f t="shared" si="17"/>
        <v>12421.515751464331</v>
      </c>
      <c r="K169" s="120"/>
      <c r="M169" s="121"/>
      <c r="N169" s="122"/>
      <c r="P169" s="3"/>
      <c r="Q169" s="3"/>
      <c r="R169" s="3"/>
      <c r="S169" s="3"/>
      <c r="T169" s="3"/>
      <c r="U169" s="3"/>
      <c r="V169" s="3"/>
      <c r="W169" s="3"/>
      <c r="X169" s="50"/>
      <c r="Y169" s="50"/>
      <c r="Z169" s="123"/>
      <c r="AA169" s="123"/>
      <c r="AB169" s="123"/>
      <c r="AC169" s="123"/>
      <c r="AD169" s="123"/>
      <c r="AE169" s="123"/>
      <c r="AF169" s="123"/>
      <c r="AG169" s="123"/>
      <c r="AH169" s="123"/>
      <c r="AI169" s="123"/>
      <c r="AJ169" s="123"/>
      <c r="AK169" s="123"/>
      <c r="AL169" s="123"/>
      <c r="AM169" s="123"/>
      <c r="AN169" s="123"/>
      <c r="AO169" s="123"/>
      <c r="AP169" s="123"/>
      <c r="AQ169" s="123"/>
      <c r="AR169" s="123"/>
      <c r="AS169" s="123"/>
      <c r="AT169" s="123"/>
      <c r="AU169" s="123"/>
      <c r="AV169" s="123"/>
      <c r="AW169" s="123"/>
      <c r="AX169" s="123"/>
      <c r="AY169" s="123"/>
      <c r="AZ169" s="123"/>
      <c r="BA169" s="123"/>
      <c r="BB169" s="123"/>
      <c r="BC169" s="123"/>
      <c r="BD169" s="123"/>
      <c r="BE169" s="123"/>
      <c r="BF169" s="123"/>
      <c r="BG169" s="123"/>
      <c r="BH169" s="123"/>
      <c r="BI169" s="123"/>
      <c r="BJ169" s="123"/>
      <c r="BK169" s="123"/>
      <c r="BL169" s="123"/>
      <c r="BM169" s="123"/>
      <c r="BN169" s="123"/>
      <c r="BO169" s="123"/>
      <c r="BP169" s="123"/>
      <c r="BQ169" s="123"/>
    </row>
    <row r="170" spans="4:70" s="118" customFormat="1" ht="9.75" customHeight="1" x14ac:dyDescent="0.2">
      <c r="D170" s="118">
        <f t="shared" si="7"/>
        <v>2054</v>
      </c>
      <c r="E170" s="119">
        <f t="shared" si="14"/>
        <v>12421.515751464331</v>
      </c>
      <c r="F170" s="119">
        <f t="shared" si="13"/>
        <v>590.64307398212884</v>
      </c>
      <c r="G170" s="119">
        <f t="shared" si="15"/>
        <v>312.42046189804131</v>
      </c>
      <c r="H170" s="119">
        <f t="shared" si="16"/>
        <v>278.22261208408759</v>
      </c>
      <c r="I170" s="119">
        <f t="shared" si="17"/>
        <v>12699.738363548418</v>
      </c>
      <c r="K170" s="120"/>
      <c r="M170" s="121"/>
      <c r="N170" s="122"/>
      <c r="X170" s="50"/>
      <c r="Y170" s="123"/>
      <c r="Z170" s="123"/>
      <c r="AA170" s="123"/>
      <c r="AB170" s="123"/>
      <c r="AC170" s="123"/>
      <c r="AD170" s="123"/>
      <c r="AE170" s="123"/>
      <c r="AF170" s="123"/>
      <c r="AG170" s="123"/>
      <c r="AH170" s="123"/>
      <c r="AI170" s="123"/>
      <c r="AJ170" s="123"/>
      <c r="AK170" s="123"/>
      <c r="AL170" s="123"/>
      <c r="AM170" s="123"/>
      <c r="AN170" s="123"/>
      <c r="AO170" s="123"/>
      <c r="AP170" s="123"/>
      <c r="AQ170" s="123"/>
      <c r="AR170" s="123"/>
      <c r="AS170" s="123"/>
      <c r="AT170" s="123"/>
      <c r="AU170" s="123"/>
      <c r="AV170" s="123"/>
      <c r="AW170" s="123"/>
      <c r="AX170" s="123"/>
      <c r="AY170" s="123"/>
      <c r="AZ170" s="123"/>
      <c r="BA170" s="123"/>
      <c r="BB170" s="123"/>
      <c r="BC170" s="123"/>
      <c r="BD170" s="123"/>
      <c r="BE170" s="123"/>
      <c r="BF170" s="123"/>
      <c r="BG170" s="123"/>
      <c r="BH170" s="123"/>
      <c r="BI170" s="123"/>
      <c r="BJ170" s="123"/>
      <c r="BK170" s="123"/>
      <c r="BL170" s="123"/>
      <c r="BM170" s="123"/>
      <c r="BN170" s="123"/>
      <c r="BO170" s="123"/>
      <c r="BP170" s="123"/>
      <c r="BQ170" s="123"/>
    </row>
    <row r="171" spans="4:70" s="118" customFormat="1" ht="9.75" customHeight="1" x14ac:dyDescent="0.2">
      <c r="D171" s="118">
        <f t="shared" si="7"/>
        <v>2055</v>
      </c>
      <c r="E171" s="119">
        <f t="shared" si="14"/>
        <v>12699.738363548418</v>
      </c>
      <c r="F171" s="119">
        <f t="shared" si="13"/>
        <v>603.87255918672724</v>
      </c>
      <c r="G171" s="119">
        <f t="shared" si="15"/>
        <v>319.41819379461305</v>
      </c>
      <c r="H171" s="119">
        <f t="shared" si="16"/>
        <v>284.4543653921142</v>
      </c>
      <c r="I171" s="119">
        <f t="shared" si="17"/>
        <v>12984.192728940532</v>
      </c>
      <c r="K171" s="120"/>
      <c r="M171" s="121"/>
      <c r="N171" s="122"/>
      <c r="X171" s="50"/>
      <c r="Y171" s="123"/>
      <c r="Z171" s="123"/>
      <c r="AA171" s="123"/>
      <c r="AB171" s="123"/>
      <c r="AC171" s="123"/>
      <c r="AD171" s="123"/>
      <c r="AE171" s="123"/>
      <c r="AF171" s="123"/>
      <c r="AG171" s="123"/>
      <c r="AH171" s="123"/>
      <c r="AI171" s="123"/>
      <c r="AJ171" s="123"/>
      <c r="AK171" s="123"/>
      <c r="AL171" s="123"/>
      <c r="AM171" s="123"/>
      <c r="AN171" s="123"/>
      <c r="AO171" s="123"/>
      <c r="AP171" s="123"/>
      <c r="AQ171" s="123"/>
      <c r="AR171" s="123"/>
      <c r="AS171" s="123"/>
      <c r="AT171" s="123"/>
      <c r="AU171" s="123"/>
      <c r="AV171" s="123"/>
      <c r="AW171" s="123"/>
      <c r="AX171" s="123"/>
      <c r="AY171" s="123"/>
      <c r="AZ171" s="123"/>
      <c r="BA171" s="123"/>
      <c r="BB171" s="123"/>
      <c r="BC171" s="123"/>
      <c r="BD171" s="123"/>
      <c r="BE171" s="123"/>
      <c r="BF171" s="123"/>
      <c r="BG171" s="123"/>
      <c r="BH171" s="123"/>
      <c r="BI171" s="123"/>
      <c r="BJ171" s="123"/>
      <c r="BK171" s="123"/>
      <c r="BL171" s="123"/>
      <c r="BM171" s="123"/>
      <c r="BN171" s="123"/>
      <c r="BO171" s="123"/>
      <c r="BP171" s="123"/>
      <c r="BQ171" s="123"/>
    </row>
    <row r="172" spans="4:70" s="118" customFormat="1" ht="9.75" customHeight="1" x14ac:dyDescent="0.2">
      <c r="D172" s="118">
        <f t="shared" si="7"/>
        <v>2056</v>
      </c>
      <c r="E172" s="119">
        <f t="shared" si="14"/>
        <v>12984.192728940532</v>
      </c>
      <c r="F172" s="119">
        <f t="shared" si="13"/>
        <v>617.3983642611222</v>
      </c>
      <c r="G172" s="119">
        <f t="shared" si="15"/>
        <v>326.57266398994665</v>
      </c>
      <c r="H172" s="119">
        <f t="shared" si="16"/>
        <v>290.82570027117561</v>
      </c>
      <c r="I172" s="119">
        <f t="shared" si="17"/>
        <v>13275.018429211708</v>
      </c>
      <c r="K172" s="120"/>
      <c r="M172" s="121"/>
      <c r="N172" s="122"/>
      <c r="X172" s="123"/>
      <c r="Y172" s="123"/>
      <c r="Z172" s="123"/>
      <c r="AA172" s="123"/>
      <c r="AB172" s="123"/>
      <c r="AC172" s="123"/>
      <c r="AD172" s="123"/>
      <c r="AE172" s="123"/>
      <c r="AF172" s="123"/>
      <c r="AG172" s="123"/>
      <c r="AH172" s="123"/>
      <c r="AI172" s="123"/>
      <c r="AJ172" s="123"/>
      <c r="AK172" s="123"/>
      <c r="AL172" s="123"/>
      <c r="AM172" s="123"/>
      <c r="AN172" s="123"/>
      <c r="AO172" s="123"/>
      <c r="AP172" s="123"/>
      <c r="AQ172" s="123"/>
      <c r="AR172" s="123"/>
      <c r="AS172" s="123"/>
      <c r="AT172" s="123"/>
      <c r="AU172" s="123"/>
      <c r="AV172" s="123"/>
      <c r="AW172" s="123"/>
      <c r="AX172" s="123"/>
      <c r="AY172" s="123"/>
      <c r="AZ172" s="123"/>
      <c r="BA172" s="123"/>
      <c r="BB172" s="123"/>
      <c r="BC172" s="123"/>
      <c r="BD172" s="123"/>
      <c r="BE172" s="123"/>
      <c r="BF172" s="123"/>
      <c r="BG172" s="123"/>
      <c r="BH172" s="123"/>
      <c r="BI172" s="123"/>
      <c r="BJ172" s="123"/>
      <c r="BK172" s="123"/>
      <c r="BL172" s="123"/>
      <c r="BM172" s="123"/>
      <c r="BN172" s="123"/>
      <c r="BO172" s="123"/>
      <c r="BP172" s="123"/>
      <c r="BQ172" s="123"/>
      <c r="BR172" s="123"/>
    </row>
    <row r="173" spans="4:70" x14ac:dyDescent="0.2">
      <c r="E173" s="14"/>
      <c r="F173" s="14"/>
      <c r="G173" s="14"/>
      <c r="H173" s="14"/>
      <c r="I173" s="14"/>
      <c r="P173" s="118"/>
      <c r="Q173" s="118"/>
      <c r="R173" s="118"/>
      <c r="S173" s="118"/>
      <c r="T173" s="118"/>
      <c r="U173" s="118"/>
      <c r="V173" s="118"/>
      <c r="W173" s="118"/>
      <c r="X173" s="123"/>
      <c r="Y173" s="123"/>
    </row>
    <row r="174" spans="4:70" x14ac:dyDescent="0.2">
      <c r="E174" s="14"/>
      <c r="F174" s="14"/>
      <c r="G174" s="14"/>
      <c r="H174" s="14"/>
      <c r="I174" s="14"/>
      <c r="X174" s="123"/>
    </row>
    <row r="175" spans="4:70" x14ac:dyDescent="0.2">
      <c r="E175" s="14"/>
      <c r="F175" s="14"/>
      <c r="G175" s="14"/>
      <c r="H175" s="14"/>
      <c r="I175" s="14"/>
      <c r="X175" s="118"/>
    </row>
    <row r="181" spans="13:13" ht="12" customHeight="1" x14ac:dyDescent="0.2"/>
    <row r="182" spans="13:13" ht="12" customHeight="1" x14ac:dyDescent="0.2"/>
    <row r="183" spans="13:13" ht="12" customHeight="1" x14ac:dyDescent="0.2"/>
    <row r="184" spans="13:13" ht="12" customHeight="1" x14ac:dyDescent="0.2"/>
    <row r="185" spans="13:13" ht="12" customHeight="1" x14ac:dyDescent="0.2"/>
    <row r="186" spans="13:13" ht="12" customHeight="1" x14ac:dyDescent="0.2"/>
    <row r="187" spans="13:13" ht="12" customHeight="1" x14ac:dyDescent="0.2"/>
    <row r="188" spans="13:13" ht="12" customHeight="1" x14ac:dyDescent="0.2"/>
    <row r="189" spans="13:13" ht="12" customHeight="1" x14ac:dyDescent="0.2"/>
    <row r="190" spans="13:13" ht="12" customHeight="1" x14ac:dyDescent="0.2"/>
    <row r="191" spans="13:13" ht="12" customHeight="1" x14ac:dyDescent="0.2"/>
    <row r="192" spans="13:13" ht="12" customHeight="1" x14ac:dyDescent="0.2">
      <c r="M192" s="33" t="s">
        <v>94</v>
      </c>
    </row>
    <row r="193" spans="8:15" ht="12" customHeight="1" x14ac:dyDescent="0.2">
      <c r="M193" s="33" t="s">
        <v>94</v>
      </c>
    </row>
    <row r="194" spans="8:15" ht="12" customHeight="1" x14ac:dyDescent="0.2">
      <c r="M194" s="33" t="s">
        <v>94</v>
      </c>
    </row>
    <row r="195" spans="8:15" ht="12" customHeight="1" x14ac:dyDescent="0.2">
      <c r="M195" s="33" t="s">
        <v>95</v>
      </c>
    </row>
    <row r="196" spans="8:15" ht="12" customHeight="1" x14ac:dyDescent="0.2"/>
    <row r="197" spans="8:15" ht="12" customHeight="1" x14ac:dyDescent="0.2"/>
    <row r="198" spans="8:15" ht="12" customHeight="1" x14ac:dyDescent="0.2"/>
    <row r="199" spans="8:15" ht="12" customHeight="1" x14ac:dyDescent="0.2"/>
    <row r="200" spans="8:15" ht="12" customHeight="1" x14ac:dyDescent="0.2">
      <c r="O200" s="31"/>
    </row>
    <row r="201" spans="8:15" ht="12" customHeight="1" x14ac:dyDescent="0.2">
      <c r="O201" s="31"/>
    </row>
    <row r="202" spans="8:15" ht="12" customHeight="1" x14ac:dyDescent="0.2"/>
    <row r="203" spans="8:15" ht="12" customHeight="1" x14ac:dyDescent="0.2"/>
    <row r="204" spans="8:15" ht="12" customHeight="1" x14ac:dyDescent="0.2"/>
    <row r="205" spans="8:15" ht="12" customHeight="1" x14ac:dyDescent="0.2"/>
    <row r="207" spans="8:15" x14ac:dyDescent="0.2">
      <c r="H207" s="29"/>
    </row>
  </sheetData>
  <mergeCells count="3">
    <mergeCell ref="A1:X1"/>
    <mergeCell ref="A2:X2"/>
    <mergeCell ref="A3:X3"/>
  </mergeCells>
  <phoneticPr fontId="0" type="noConversion"/>
  <printOptions horizontalCentered="1" headings="1" gridLines="1"/>
  <pageMargins left="0.5" right="0.5" top="0.5" bottom="0.5" header="0.5" footer="0.5"/>
  <pageSetup scale="76" fitToHeight="0" orientation="landscape" horizontalDpi="300" verticalDpi="300" r:id="rId1"/>
  <headerFooter alignWithMargins="0">
    <oddFooter>&amp;L&amp;"Times New Roman,Regular"
&amp;C&amp;"Times New Roman,Regular"Page &amp;P of &amp;N&amp;R&amp;"Times New Roman,Regular"&amp;D</oddFooter>
  </headerFooter>
  <rowBreaks count="4" manualBreakCount="4">
    <brk id="36" max="23" man="1"/>
    <brk id="80" max="23" man="1"/>
    <brk id="118" max="23" man="1"/>
    <brk id="172" max="2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sqref="A1:J10"/>
    </sheetView>
  </sheetViews>
  <sheetFormatPr defaultRowHeight="12.75" x14ac:dyDescent="0.2"/>
  <cols>
    <col min="10" max="10" width="16.42578125" customWidth="1"/>
  </cols>
  <sheetData>
    <row r="1" spans="1:10" ht="15.75" x14ac:dyDescent="0.25">
      <c r="A1" s="12" t="s">
        <v>134</v>
      </c>
      <c r="B1" s="3"/>
      <c r="C1" s="3"/>
      <c r="D1" s="3"/>
      <c r="E1" s="32"/>
      <c r="F1" s="3"/>
      <c r="G1" s="3"/>
      <c r="H1" s="3"/>
      <c r="I1" s="3"/>
      <c r="J1" s="3"/>
    </row>
    <row r="2" spans="1:10" x14ac:dyDescent="0.2">
      <c r="A2" s="3"/>
      <c r="B2" s="3" t="s">
        <v>75</v>
      </c>
      <c r="C2" s="3"/>
      <c r="D2" s="3"/>
      <c r="E2" s="3"/>
      <c r="F2" s="3"/>
      <c r="G2" s="3"/>
      <c r="H2" s="3"/>
      <c r="I2" s="3"/>
      <c r="J2" s="17">
        <f>Sheet1!R147</f>
        <v>4.7549999999999995E-2</v>
      </c>
    </row>
    <row r="3" spans="1:10" x14ac:dyDescent="0.2">
      <c r="A3" s="3"/>
      <c r="B3" s="3" t="s">
        <v>76</v>
      </c>
      <c r="C3" s="3"/>
      <c r="D3" s="3"/>
      <c r="E3" s="3"/>
      <c r="F3" s="3"/>
      <c r="G3" s="3"/>
      <c r="H3" s="3"/>
      <c r="I3" s="3"/>
      <c r="J3" s="17">
        <f>Sheet1!T147</f>
        <v>2.2398442963878128E-2</v>
      </c>
    </row>
    <row r="4" spans="1:10" x14ac:dyDescent="0.2">
      <c r="A4" s="3"/>
      <c r="B4" s="3"/>
      <c r="C4" s="3" t="s">
        <v>18</v>
      </c>
      <c r="D4" s="3"/>
      <c r="E4" s="3"/>
      <c r="F4" s="3"/>
      <c r="G4" s="3"/>
      <c r="H4" s="3"/>
      <c r="I4" s="3"/>
      <c r="J4" s="17">
        <f>+J2-J3</f>
        <v>2.5151557036121867E-2</v>
      </c>
    </row>
    <row r="5" spans="1:10" x14ac:dyDescent="0.2">
      <c r="A5" s="60" t="s">
        <v>135</v>
      </c>
      <c r="B5" s="3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3"/>
      <c r="B6" s="3" t="s">
        <v>136</v>
      </c>
      <c r="C6" s="3"/>
      <c r="D6" s="3"/>
      <c r="E6" s="3"/>
      <c r="F6" s="3"/>
      <c r="G6" s="3"/>
      <c r="H6" s="3"/>
      <c r="I6" s="3"/>
      <c r="J6" s="13">
        <f>Sheet1!X80</f>
        <v>134.63955026455028</v>
      </c>
    </row>
    <row r="7" spans="1:10" x14ac:dyDescent="0.2">
      <c r="A7" s="3"/>
      <c r="B7" s="12" t="s">
        <v>90</v>
      </c>
      <c r="C7" s="3"/>
      <c r="D7" s="3"/>
      <c r="E7" s="3"/>
      <c r="F7" s="3"/>
      <c r="G7" s="3"/>
      <c r="H7" s="3"/>
      <c r="I7" s="3"/>
      <c r="J7" s="3"/>
    </row>
    <row r="8" spans="1:10" x14ac:dyDescent="0.2">
      <c r="A8" s="3"/>
      <c r="B8" s="3"/>
      <c r="C8" s="3" t="s">
        <v>37</v>
      </c>
      <c r="D8" s="3"/>
      <c r="E8" s="3"/>
      <c r="F8" s="3"/>
      <c r="G8" s="3"/>
      <c r="H8" s="3"/>
      <c r="I8" s="3"/>
      <c r="J8" s="22">
        <f>J3</f>
        <v>2.2398442963878128E-2</v>
      </c>
    </row>
    <row r="9" spans="1:10" x14ac:dyDescent="0.2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15.75" x14ac:dyDescent="0.25">
      <c r="A10" s="3"/>
      <c r="B10" s="63" t="s">
        <v>122</v>
      </c>
      <c r="C10" s="63"/>
      <c r="D10" s="63"/>
      <c r="E10" s="63"/>
      <c r="F10" s="63"/>
      <c r="G10" s="63"/>
      <c r="H10" s="63"/>
      <c r="I10" s="63"/>
      <c r="J10" s="66">
        <f>J6/J8</f>
        <v>6011.1120438899661</v>
      </c>
    </row>
  </sheetData>
  <phoneticPr fontId="0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"/>
    </sheetView>
  </sheetViews>
  <sheetFormatPr defaultRowHeight="12.75" x14ac:dyDescent="0.2"/>
  <sheetData>
    <row r="1" spans="1:1" x14ac:dyDescent="0.2">
      <c r="A1" t="s">
        <v>137</v>
      </c>
    </row>
    <row r="2" spans="1:1" x14ac:dyDescent="0.2">
      <c r="A2" t="s">
        <v>127</v>
      </c>
    </row>
    <row r="3" spans="1:1" x14ac:dyDescent="0.2">
      <c r="A3" t="s">
        <v>107</v>
      </c>
    </row>
    <row r="4" spans="1:1" x14ac:dyDescent="0.2">
      <c r="A4" t="s">
        <v>138</v>
      </c>
    </row>
    <row r="5" spans="1:1" x14ac:dyDescent="0.2">
      <c r="A5" t="s">
        <v>139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Dell Computer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Test</dc:title>
  <dc:creator>Preferred Customer</dc:creator>
  <cp:lastModifiedBy>Cheryl Cufre</cp:lastModifiedBy>
  <cp:lastPrinted>2011-12-13T16:25:16Z</cp:lastPrinted>
  <dcterms:created xsi:type="dcterms:W3CDTF">1996-07-06T15:52:52Z</dcterms:created>
  <dcterms:modified xsi:type="dcterms:W3CDTF">2016-11-18T16:57:16Z</dcterms:modified>
</cp:coreProperties>
</file>